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azné ukazatele\Záv. ukazatele 2025\"/>
    </mc:Choice>
  </mc:AlternateContent>
  <xr:revisionPtr revIDLastSave="0" documentId="13_ncr:1_{86EF4AFA-CEEE-4C8F-A8AD-3ADAA4808915}" xr6:coauthVersionLast="47" xr6:coauthVersionMax="47" xr10:uidLastSave="{00000000-0000-0000-0000-000000000000}"/>
  <workbookProtection workbookAlgorithmName="SHA-512" workbookHashValue="Bhr0puFzg185peu6akbAP8RCHG+kvgzUKxZLuB1rmfT1zw/vq+7lbXAxtPns407chCWWHPTX22gu59HsPuwVBw==" workbookSaltValue="r94TtOoiijWEZdigFQo0Fg==" workbookSpinCount="100000" lockStructure="1"/>
  <bookViews>
    <workbookView xWindow="-109" yWindow="-109" windowWidth="26301" windowHeight="14169" xr2:uid="{5F939F0E-B7C8-4EE0-A5CF-22394BFDF32C}"/>
  </bookViews>
  <sheets>
    <sheet name="ZU 2025 po 2.ZR a RORM 1-80" sheetId="1" r:id="rId1"/>
  </sheets>
  <definedNames>
    <definedName name="__DdeLink__9289_5144441" localSheetId="0">'ZU 2025 po 2.ZR a RORM 1-80'!#REF!</definedName>
    <definedName name="_xlnm.Print_Titles" localSheetId="0">'ZU 2025 po 2.ZR a RORM 1-80'!$1:$2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351" i="1"/>
  <c r="I347" i="1" s="1"/>
  <c r="I349" i="1"/>
  <c r="G21" i="1"/>
  <c r="G349" i="1"/>
  <c r="G351" i="1"/>
  <c r="J351" i="1" s="1"/>
  <c r="C383" i="1"/>
  <c r="C372" i="1"/>
  <c r="G382" i="1"/>
  <c r="H383" i="1"/>
  <c r="H371" i="1"/>
  <c r="G371" i="1"/>
  <c r="G372" i="1" s="1"/>
  <c r="G383" i="1" s="1"/>
  <c r="C371" i="1"/>
  <c r="H382" i="1"/>
  <c r="C382" i="1"/>
  <c r="I382" i="1"/>
  <c r="I367" i="1"/>
  <c r="G367" i="1"/>
  <c r="C367" i="1"/>
  <c r="G366" i="1"/>
  <c r="J366" i="1" s="1"/>
  <c r="I364" i="1"/>
  <c r="G364" i="1"/>
  <c r="C364" i="1"/>
  <c r="I361" i="1"/>
  <c r="G361" i="1"/>
  <c r="C361" i="1"/>
  <c r="I354" i="1"/>
  <c r="G354" i="1"/>
  <c r="C354" i="1"/>
  <c r="G347" i="1"/>
  <c r="C347" i="1"/>
  <c r="I342" i="1"/>
  <c r="H342" i="1"/>
  <c r="G342" i="1"/>
  <c r="C342" i="1"/>
  <c r="I334" i="1"/>
  <c r="H334" i="1"/>
  <c r="G334" i="1"/>
  <c r="C334" i="1"/>
  <c r="G332" i="1"/>
  <c r="J332" i="1" s="1"/>
  <c r="I330" i="1"/>
  <c r="H330" i="1"/>
  <c r="G330" i="1"/>
  <c r="C330" i="1"/>
  <c r="G311" i="1"/>
  <c r="H311" i="1"/>
  <c r="I311" i="1"/>
  <c r="J311" i="1" s="1"/>
  <c r="C311" i="1"/>
  <c r="I307" i="1"/>
  <c r="H307" i="1"/>
  <c r="G307" i="1"/>
  <c r="C307" i="1"/>
  <c r="H303" i="1"/>
  <c r="G303" i="1"/>
  <c r="G305" i="1"/>
  <c r="I303" i="1"/>
  <c r="C303" i="1"/>
  <c r="I292" i="1"/>
  <c r="H292" i="1"/>
  <c r="G292" i="1"/>
  <c r="C292" i="1"/>
  <c r="I287" i="1"/>
  <c r="H287" i="1"/>
  <c r="G289" i="1"/>
  <c r="G287" i="1" s="1"/>
  <c r="C287" i="1"/>
  <c r="I284" i="1"/>
  <c r="H284" i="1"/>
  <c r="G284" i="1"/>
  <c r="C284" i="1"/>
  <c r="G276" i="1"/>
  <c r="J276" i="1" s="1"/>
  <c r="H281" i="1"/>
  <c r="I277" i="1"/>
  <c r="H277" i="1"/>
  <c r="G277" i="1"/>
  <c r="C277" i="1"/>
  <c r="I273" i="1"/>
  <c r="H273" i="1"/>
  <c r="C273" i="1"/>
  <c r="I269" i="1"/>
  <c r="H269" i="1"/>
  <c r="G269" i="1"/>
  <c r="C269" i="1"/>
  <c r="G251" i="1"/>
  <c r="I251" i="1"/>
  <c r="H251" i="1"/>
  <c r="C251" i="1"/>
  <c r="I248" i="1"/>
  <c r="H248" i="1"/>
  <c r="G248" i="1"/>
  <c r="C248" i="1"/>
  <c r="G247" i="1"/>
  <c r="J247" i="1" s="1"/>
  <c r="I203" i="1"/>
  <c r="H203" i="1"/>
  <c r="C203" i="1"/>
  <c r="I194" i="1"/>
  <c r="H194" i="1"/>
  <c r="G194" i="1"/>
  <c r="C194" i="1"/>
  <c r="G184" i="1"/>
  <c r="J184" i="1" s="1"/>
  <c r="G182" i="1"/>
  <c r="I182" i="1"/>
  <c r="H182" i="1"/>
  <c r="C182" i="1"/>
  <c r="I64" i="1"/>
  <c r="G181" i="1"/>
  <c r="J181" i="1" s="1"/>
  <c r="G66" i="1"/>
  <c r="G64" i="1" s="1"/>
  <c r="H64" i="1"/>
  <c r="C64" i="1"/>
  <c r="G59" i="1"/>
  <c r="C59" i="1"/>
  <c r="I59" i="1"/>
  <c r="G57" i="1"/>
  <c r="J57" i="1" s="1"/>
  <c r="G58" i="1"/>
  <c r="G55" i="1" s="1"/>
  <c r="I55" i="1"/>
  <c r="H55" i="1"/>
  <c r="C55" i="1"/>
  <c r="I47" i="1"/>
  <c r="H47" i="1"/>
  <c r="G47" i="1"/>
  <c r="C47" i="1"/>
  <c r="I42" i="1"/>
  <c r="H42" i="1"/>
  <c r="G46" i="1"/>
  <c r="G42" i="1" s="1"/>
  <c r="C42" i="1"/>
  <c r="I24" i="1"/>
  <c r="H24" i="1"/>
  <c r="G24" i="1"/>
  <c r="I20" i="1"/>
  <c r="H20" i="1"/>
  <c r="H21" i="1" s="1"/>
  <c r="G20" i="1"/>
  <c r="C20" i="1"/>
  <c r="H9" i="1"/>
  <c r="G9" i="1"/>
  <c r="C9" i="1"/>
  <c r="C24" i="1"/>
  <c r="G6" i="1"/>
  <c r="J310" i="1"/>
  <c r="J185" i="1"/>
  <c r="J186" i="1"/>
  <c r="J187" i="1"/>
  <c r="J188" i="1"/>
  <c r="J189" i="1"/>
  <c r="J190" i="1"/>
  <c r="J191" i="1"/>
  <c r="J192" i="1"/>
  <c r="J193" i="1"/>
  <c r="J196" i="1"/>
  <c r="J197" i="1"/>
  <c r="J198" i="1"/>
  <c r="J199" i="1"/>
  <c r="J200" i="1"/>
  <c r="J201" i="1"/>
  <c r="J202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50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71" i="1"/>
  <c r="J272" i="1"/>
  <c r="J275" i="1"/>
  <c r="J279" i="1"/>
  <c r="J280" i="1"/>
  <c r="J286" i="1"/>
  <c r="J290" i="1"/>
  <c r="J291" i="1"/>
  <c r="J294" i="1"/>
  <c r="J295" i="1"/>
  <c r="J296" i="1"/>
  <c r="J297" i="1"/>
  <c r="J298" i="1"/>
  <c r="J299" i="1"/>
  <c r="J300" i="1"/>
  <c r="J301" i="1"/>
  <c r="J302" i="1"/>
  <c r="J305" i="1"/>
  <c r="J306" i="1"/>
  <c r="J309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3" i="1"/>
  <c r="J336" i="1"/>
  <c r="J337" i="1"/>
  <c r="J338" i="1"/>
  <c r="J339" i="1"/>
  <c r="J340" i="1"/>
  <c r="J341" i="1"/>
  <c r="J344" i="1"/>
  <c r="J345" i="1"/>
  <c r="J346" i="1"/>
  <c r="J349" i="1"/>
  <c r="J350" i="1"/>
  <c r="J352" i="1"/>
  <c r="J353" i="1"/>
  <c r="J356" i="1"/>
  <c r="J357" i="1"/>
  <c r="J358" i="1"/>
  <c r="J359" i="1"/>
  <c r="J360" i="1"/>
  <c r="J363" i="1"/>
  <c r="J369" i="1"/>
  <c r="J370" i="1"/>
  <c r="J375" i="1"/>
  <c r="J376" i="1"/>
  <c r="J377" i="1"/>
  <c r="J378" i="1"/>
  <c r="J379" i="1"/>
  <c r="J380" i="1"/>
  <c r="J381" i="1"/>
  <c r="J386" i="1"/>
  <c r="J387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49" i="1"/>
  <c r="J50" i="1"/>
  <c r="J51" i="1"/>
  <c r="J52" i="1"/>
  <c r="J53" i="1"/>
  <c r="J54" i="1"/>
  <c r="J61" i="1"/>
  <c r="J62" i="1"/>
  <c r="J63" i="1"/>
  <c r="J67" i="1"/>
  <c r="J68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4" i="1"/>
  <c r="J45" i="1"/>
  <c r="J7" i="1"/>
  <c r="J8" i="1"/>
  <c r="J12" i="1"/>
  <c r="J13" i="1"/>
  <c r="J14" i="1"/>
  <c r="J15" i="1"/>
  <c r="J16" i="1"/>
  <c r="J17" i="1"/>
  <c r="J18" i="1"/>
  <c r="J19" i="1"/>
  <c r="J26" i="1"/>
  <c r="J5" i="1"/>
  <c r="H387" i="1"/>
  <c r="H367" i="1"/>
  <c r="H364" i="1"/>
  <c r="H361" i="1"/>
  <c r="H354" i="1"/>
  <c r="H347" i="1"/>
  <c r="H59" i="1"/>
  <c r="I371" i="1" l="1"/>
  <c r="I281" i="1"/>
  <c r="J9" i="1"/>
  <c r="I21" i="1"/>
  <c r="J382" i="1"/>
  <c r="J289" i="1"/>
  <c r="G273" i="1"/>
  <c r="G281" i="1" s="1"/>
  <c r="G203" i="1"/>
  <c r="J66" i="1"/>
  <c r="J59" i="1"/>
  <c r="J58" i="1"/>
  <c r="J46" i="1"/>
  <c r="J20" i="1"/>
  <c r="J6" i="1"/>
  <c r="C387" i="1"/>
  <c r="F349" i="1"/>
  <c r="F351" i="1"/>
  <c r="F366" i="1"/>
  <c r="F364" i="1" s="1"/>
  <c r="F276" i="1"/>
  <c r="F332" i="1"/>
  <c r="F330" i="1" s="1"/>
  <c r="F305" i="1"/>
  <c r="F303" i="1" s="1"/>
  <c r="F280" i="1"/>
  <c r="G280" i="1" s="1"/>
  <c r="F193" i="1"/>
  <c r="F184" i="1"/>
  <c r="F186" i="1"/>
  <c r="F181" i="1"/>
  <c r="F66" i="1"/>
  <c r="F57" i="1"/>
  <c r="F55" i="1" s="1"/>
  <c r="F44" i="1"/>
  <c r="G44" i="1" s="1"/>
  <c r="F41" i="1"/>
  <c r="F27" i="1"/>
  <c r="G27" i="1" s="1"/>
  <c r="F28" i="1"/>
  <c r="G28" i="1" s="1"/>
  <c r="F35" i="1"/>
  <c r="G35" i="1" s="1"/>
  <c r="F8" i="1"/>
  <c r="F6" i="1"/>
  <c r="F336" i="1"/>
  <c r="F334" i="1" s="1"/>
  <c r="F313" i="1"/>
  <c r="F311" i="1" s="1"/>
  <c r="F196" i="1"/>
  <c r="G196" i="1" s="1"/>
  <c r="F297" i="1"/>
  <c r="F289" i="1"/>
  <c r="F287" i="1" s="1"/>
  <c r="F250" i="1"/>
  <c r="F248" i="1" s="1"/>
  <c r="F236" i="1"/>
  <c r="G236" i="1" s="1"/>
  <c r="F247" i="1"/>
  <c r="F202" i="1"/>
  <c r="F136" i="1"/>
  <c r="G136" i="1" s="1"/>
  <c r="F116" i="1"/>
  <c r="G116" i="1" s="1"/>
  <c r="F73" i="1"/>
  <c r="G73" i="1" s="1"/>
  <c r="F72" i="1"/>
  <c r="G72" i="1" s="1"/>
  <c r="F81" i="1"/>
  <c r="G81" i="1" s="1"/>
  <c r="F109" i="1"/>
  <c r="G109" i="1" s="1"/>
  <c r="F108" i="1"/>
  <c r="G108" i="1" s="1"/>
  <c r="F80" i="1"/>
  <c r="G80" i="1" s="1"/>
  <c r="F77" i="1"/>
  <c r="G77" i="1" s="1"/>
  <c r="F76" i="1"/>
  <c r="G76" i="1" s="1"/>
  <c r="F123" i="1"/>
  <c r="G123" i="1" s="1"/>
  <c r="F111" i="1"/>
  <c r="G111" i="1" s="1"/>
  <c r="F115" i="1"/>
  <c r="G115" i="1" s="1"/>
  <c r="F46" i="1"/>
  <c r="F37" i="1"/>
  <c r="G37" i="1" s="1"/>
  <c r="F30" i="1"/>
  <c r="G30" i="1" s="1"/>
  <c r="F382" i="1"/>
  <c r="F367" i="1"/>
  <c r="G369" i="1"/>
  <c r="F360" i="1"/>
  <c r="G360" i="1" s="1"/>
  <c r="F357" i="1"/>
  <c r="G357" i="1" s="1"/>
  <c r="F361" i="1"/>
  <c r="F342" i="1"/>
  <c r="F307" i="1"/>
  <c r="F296" i="1"/>
  <c r="G296" i="1" s="1"/>
  <c r="F295" i="1"/>
  <c r="F284" i="1"/>
  <c r="F47" i="1"/>
  <c r="F275" i="1"/>
  <c r="G275" i="1" s="1"/>
  <c r="F269" i="1"/>
  <c r="F251" i="1"/>
  <c r="F233" i="1"/>
  <c r="F242" i="1"/>
  <c r="G242" i="1" s="1"/>
  <c r="F235" i="1"/>
  <c r="G235" i="1" s="1"/>
  <c r="F243" i="1"/>
  <c r="G243" i="1" s="1"/>
  <c r="F130" i="1"/>
  <c r="G130" i="1" s="1"/>
  <c r="F91" i="1"/>
  <c r="G91" i="1" s="1"/>
  <c r="F88" i="1"/>
  <c r="G88" i="1" s="1"/>
  <c r="F87" i="1"/>
  <c r="G87" i="1" s="1"/>
  <c r="F114" i="1"/>
  <c r="G114" i="1" s="1"/>
  <c r="F113" i="1"/>
  <c r="G113" i="1" s="1"/>
  <c r="F99" i="1"/>
  <c r="G99" i="1" s="1"/>
  <c r="F98" i="1"/>
  <c r="G98" i="1" s="1"/>
  <c r="F95" i="1"/>
  <c r="G95" i="1" s="1"/>
  <c r="F94" i="1"/>
  <c r="G94" i="1" s="1"/>
  <c r="F84" i="1"/>
  <c r="G84" i="1" s="1"/>
  <c r="F83" i="1"/>
  <c r="G83" i="1" s="1"/>
  <c r="F120" i="1"/>
  <c r="G120" i="1" s="1"/>
  <c r="F85" i="1"/>
  <c r="G85" i="1" s="1"/>
  <c r="F106" i="1"/>
  <c r="G106" i="1" s="1"/>
  <c r="F102" i="1"/>
  <c r="G102" i="1" s="1"/>
  <c r="F89" i="1"/>
  <c r="G89" i="1" s="1"/>
  <c r="F74" i="1"/>
  <c r="G74" i="1" s="1"/>
  <c r="F100" i="1"/>
  <c r="G100" i="1" s="1"/>
  <c r="F59" i="1"/>
  <c r="F34" i="1"/>
  <c r="G34" i="1" s="1"/>
  <c r="F32" i="1"/>
  <c r="G32" i="1" s="1"/>
  <c r="F20" i="1"/>
  <c r="G378" i="1"/>
  <c r="G370" i="1"/>
  <c r="G376" i="1"/>
  <c r="G17" i="1"/>
  <c r="E9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71" i="1"/>
  <c r="G272" i="1"/>
  <c r="G279" i="1"/>
  <c r="G286" i="1"/>
  <c r="G290" i="1"/>
  <c r="G291" i="1"/>
  <c r="G298" i="1"/>
  <c r="G299" i="1"/>
  <c r="G300" i="1"/>
  <c r="G301" i="1"/>
  <c r="G302" i="1"/>
  <c r="G309" i="1"/>
  <c r="G310" i="1"/>
  <c r="G316" i="1"/>
  <c r="G317" i="1"/>
  <c r="G318" i="1"/>
  <c r="G319" i="1"/>
  <c r="G323" i="1"/>
  <c r="G324" i="1"/>
  <c r="G327" i="1"/>
  <c r="G328" i="1"/>
  <c r="G329" i="1"/>
  <c r="G333" i="1"/>
  <c r="G337" i="1"/>
  <c r="G338" i="1"/>
  <c r="G339" i="1"/>
  <c r="G340" i="1"/>
  <c r="G341" i="1"/>
  <c r="G344" i="1"/>
  <c r="G345" i="1"/>
  <c r="G346" i="1"/>
  <c r="G350" i="1"/>
  <c r="G352" i="1"/>
  <c r="G353" i="1"/>
  <c r="G356" i="1"/>
  <c r="G358" i="1"/>
  <c r="G359" i="1"/>
  <c r="G363" i="1"/>
  <c r="G375" i="1"/>
  <c r="G377" i="1"/>
  <c r="G379" i="1"/>
  <c r="G380" i="1"/>
  <c r="G381" i="1"/>
  <c r="G386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4" i="1"/>
  <c r="G237" i="1"/>
  <c r="G238" i="1"/>
  <c r="G239" i="1"/>
  <c r="G240" i="1"/>
  <c r="G241" i="1"/>
  <c r="G245" i="1"/>
  <c r="G246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185" i="1"/>
  <c r="G186" i="1"/>
  <c r="G187" i="1"/>
  <c r="G188" i="1"/>
  <c r="G189" i="1"/>
  <c r="G190" i="1"/>
  <c r="G191" i="1"/>
  <c r="G192" i="1"/>
  <c r="G197" i="1"/>
  <c r="G198" i="1"/>
  <c r="G199" i="1"/>
  <c r="G200" i="1"/>
  <c r="G201" i="1"/>
  <c r="G205" i="1"/>
  <c r="G137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73" i="1"/>
  <c r="G174" i="1"/>
  <c r="G177" i="1"/>
  <c r="G178" i="1"/>
  <c r="G180" i="1"/>
  <c r="G101" i="1"/>
  <c r="G103" i="1"/>
  <c r="G104" i="1"/>
  <c r="G105" i="1"/>
  <c r="G107" i="1"/>
  <c r="G110" i="1"/>
  <c r="G112" i="1"/>
  <c r="G117" i="1"/>
  <c r="G121" i="1"/>
  <c r="G122" i="1"/>
  <c r="G124" i="1"/>
  <c r="G125" i="1"/>
  <c r="G126" i="1"/>
  <c r="G129" i="1"/>
  <c r="G131" i="1"/>
  <c r="G132" i="1"/>
  <c r="G133" i="1"/>
  <c r="G134" i="1"/>
  <c r="G135" i="1"/>
  <c r="G61" i="1"/>
  <c r="G62" i="1"/>
  <c r="G63" i="1"/>
  <c r="G67" i="1"/>
  <c r="G68" i="1"/>
  <c r="G69" i="1"/>
  <c r="G71" i="1"/>
  <c r="G75" i="1"/>
  <c r="G79" i="1"/>
  <c r="G82" i="1"/>
  <c r="G86" i="1"/>
  <c r="G90" i="1"/>
  <c r="G92" i="1"/>
  <c r="G93" i="1"/>
  <c r="G96" i="1"/>
  <c r="G97" i="1"/>
  <c r="G45" i="1"/>
  <c r="G50" i="1"/>
  <c r="G51" i="1"/>
  <c r="G52" i="1"/>
  <c r="G53" i="1"/>
  <c r="G7" i="1"/>
  <c r="G13" i="1"/>
  <c r="G14" i="1"/>
  <c r="G15" i="1"/>
  <c r="G16" i="1"/>
  <c r="G18" i="1"/>
  <c r="G19" i="1"/>
  <c r="G5" i="1"/>
  <c r="D366" i="1"/>
  <c r="D364" i="1" s="1"/>
  <c r="D119" i="1"/>
  <c r="G119" i="1" s="1"/>
  <c r="D118" i="1"/>
  <c r="G118" i="1" s="1"/>
  <c r="D128" i="1"/>
  <c r="G128" i="1" s="1"/>
  <c r="D127" i="1"/>
  <c r="G127" i="1" s="1"/>
  <c r="D322" i="1"/>
  <c r="G322" i="1" s="1"/>
  <c r="D78" i="1"/>
  <c r="G78" i="1" s="1"/>
  <c r="D70" i="1"/>
  <c r="G70" i="1" s="1"/>
  <c r="D66" i="1"/>
  <c r="E311" i="1"/>
  <c r="D321" i="1"/>
  <c r="G321" i="1" s="1"/>
  <c r="D326" i="1"/>
  <c r="G326" i="1" s="1"/>
  <c r="D325" i="1"/>
  <c r="G325" i="1" s="1"/>
  <c r="D351" i="1"/>
  <c r="D349" i="1"/>
  <c r="D297" i="1"/>
  <c r="D276" i="1"/>
  <c r="D273" i="1" s="1"/>
  <c r="D250" i="1"/>
  <c r="D57" i="1"/>
  <c r="E24" i="1"/>
  <c r="D26" i="1"/>
  <c r="G26" i="1" s="1"/>
  <c r="D38" i="1"/>
  <c r="G38" i="1" s="1"/>
  <c r="D41" i="1"/>
  <c r="D8" i="1"/>
  <c r="D6" i="1"/>
  <c r="E387" i="1"/>
  <c r="E382" i="1"/>
  <c r="E367" i="1"/>
  <c r="E364" i="1"/>
  <c r="E361" i="1"/>
  <c r="E354" i="1"/>
  <c r="E347" i="1"/>
  <c r="E342" i="1"/>
  <c r="E334" i="1"/>
  <c r="E330" i="1"/>
  <c r="E307" i="1"/>
  <c r="E303" i="1"/>
  <c r="E292" i="1"/>
  <c r="E287" i="1"/>
  <c r="E284" i="1"/>
  <c r="E277" i="1"/>
  <c r="E273" i="1"/>
  <c r="E269" i="1"/>
  <c r="E251" i="1"/>
  <c r="E248" i="1"/>
  <c r="E203" i="1"/>
  <c r="E194" i="1"/>
  <c r="E182" i="1"/>
  <c r="E64" i="1"/>
  <c r="E59" i="1"/>
  <c r="E55" i="1"/>
  <c r="E47" i="1"/>
  <c r="E42" i="1"/>
  <c r="E20" i="1"/>
  <c r="D268" i="1"/>
  <c r="D251" i="1" s="1"/>
  <c r="D29" i="1"/>
  <c r="G29" i="1" s="1"/>
  <c r="D40" i="1"/>
  <c r="G40" i="1" s="1"/>
  <c r="D31" i="1"/>
  <c r="G31" i="1" s="1"/>
  <c r="D39" i="1"/>
  <c r="G39" i="1" s="1"/>
  <c r="D12" i="1"/>
  <c r="D20" i="1" s="1"/>
  <c r="D336" i="1"/>
  <c r="D334" i="1" s="1"/>
  <c r="D305" i="1"/>
  <c r="D306" i="1"/>
  <c r="G306" i="1" s="1"/>
  <c r="D295" i="1"/>
  <c r="D244" i="1"/>
  <c r="G244" i="1" s="1"/>
  <c r="D247" i="1"/>
  <c r="D193" i="1"/>
  <c r="D184" i="1"/>
  <c r="D169" i="1"/>
  <c r="G169" i="1" s="1"/>
  <c r="D175" i="1"/>
  <c r="G175" i="1" s="1"/>
  <c r="D176" i="1"/>
  <c r="G176" i="1" s="1"/>
  <c r="D179" i="1"/>
  <c r="G179" i="1" s="1"/>
  <c r="D172" i="1"/>
  <c r="G172" i="1" s="1"/>
  <c r="D171" i="1"/>
  <c r="G171" i="1" s="1"/>
  <c r="D170" i="1"/>
  <c r="G170" i="1" s="1"/>
  <c r="D181" i="1"/>
  <c r="D58" i="1"/>
  <c r="D54" i="1"/>
  <c r="G54" i="1" s="1"/>
  <c r="D49" i="1"/>
  <c r="G49" i="1" s="1"/>
  <c r="D36" i="1"/>
  <c r="G36" i="1" s="1"/>
  <c r="D33" i="1"/>
  <c r="G33" i="1" s="1"/>
  <c r="D42" i="1"/>
  <c r="D382" i="1"/>
  <c r="D367" i="1"/>
  <c r="D361" i="1"/>
  <c r="D354" i="1"/>
  <c r="D342" i="1"/>
  <c r="D330" i="1"/>
  <c r="D307" i="1"/>
  <c r="D287" i="1"/>
  <c r="D284" i="1"/>
  <c r="D277" i="1"/>
  <c r="D269" i="1"/>
  <c r="D194" i="1"/>
  <c r="D139" i="1"/>
  <c r="G139" i="1" s="1"/>
  <c r="D138" i="1"/>
  <c r="G138" i="1" s="1"/>
  <c r="D59" i="1"/>
  <c r="I372" i="1" l="1"/>
  <c r="I383" i="1" s="1" a="1"/>
  <c r="I383" i="1" s="1"/>
  <c r="J273" i="1"/>
  <c r="G250" i="1"/>
  <c r="F277" i="1"/>
  <c r="F194" i="1"/>
  <c r="F347" i="1"/>
  <c r="G297" i="1"/>
  <c r="G202" i="1"/>
  <c r="F292" i="1"/>
  <c r="F354" i="1"/>
  <c r="G313" i="1"/>
  <c r="F203" i="1"/>
  <c r="F273" i="1"/>
  <c r="F24" i="1"/>
  <c r="F42" i="1"/>
  <c r="G233" i="1"/>
  <c r="G295" i="1"/>
  <c r="F182" i="1"/>
  <c r="G193" i="1"/>
  <c r="F64" i="1"/>
  <c r="G8" i="1"/>
  <c r="E21" i="1"/>
  <c r="G268" i="1"/>
  <c r="F9" i="1"/>
  <c r="F21" i="1" s="1"/>
  <c r="G41" i="1"/>
  <c r="G12" i="1"/>
  <c r="G336" i="1"/>
  <c r="D311" i="1"/>
  <c r="D24" i="1"/>
  <c r="D292" i="1"/>
  <c r="D248" i="1"/>
  <c r="E371" i="1"/>
  <c r="E281" i="1"/>
  <c r="D9" i="1"/>
  <c r="D182" i="1"/>
  <c r="D347" i="1"/>
  <c r="D303" i="1"/>
  <c r="D203" i="1"/>
  <c r="D47" i="1"/>
  <c r="D55" i="1"/>
  <c r="D64" i="1"/>
  <c r="G387" i="1"/>
  <c r="J367" i="1"/>
  <c r="J364" i="1"/>
  <c r="J361" i="1"/>
  <c r="J342" i="1"/>
  <c r="J334" i="1"/>
  <c r="J330" i="1"/>
  <c r="J307" i="1"/>
  <c r="J287" i="1"/>
  <c r="J284" i="1"/>
  <c r="J269" i="1"/>
  <c r="J251" i="1"/>
  <c r="J194" i="1" l="1"/>
  <c r="J277" i="1"/>
  <c r="H372" i="1"/>
  <c r="F371" i="1"/>
  <c r="J354" i="1"/>
  <c r="F281" i="1"/>
  <c r="J347" i="1"/>
  <c r="J24" i="1"/>
  <c r="J248" i="1"/>
  <c r="J203" i="1"/>
  <c r="J303" i="1"/>
  <c r="J182" i="1"/>
  <c r="J64" i="1"/>
  <c r="J55" i="1"/>
  <c r="J292" i="1"/>
  <c r="J47" i="1"/>
  <c r="E372" i="1"/>
  <c r="E383" i="1" s="1"/>
  <c r="D21" i="1"/>
  <c r="D371" i="1"/>
  <c r="D281" i="1"/>
  <c r="C281" i="1"/>
  <c r="C21" i="1"/>
  <c r="F372" i="1" l="1"/>
  <c r="F383" i="1" s="1"/>
  <c r="J371" i="1"/>
  <c r="J21" i="1"/>
  <c r="D372" i="1"/>
  <c r="D383" i="1" s="1"/>
  <c r="J372" i="1" l="1"/>
  <c r="J383" i="1"/>
  <c r="J281" i="1"/>
  <c r="J42" i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<sst xmlns="http://schemas.openxmlformats.org/spreadsheetml/2006/main" count="602" uniqueCount="378">
  <si>
    <t>Závazný ukazatel</t>
  </si>
  <si>
    <t xml:space="preserve">   Časová použitelnost                 dotací a příspěvků                 (od - do)</t>
  </si>
  <si>
    <t>sl. 1</t>
  </si>
  <si>
    <t>sl. 2</t>
  </si>
  <si>
    <t>sl. 3</t>
  </si>
  <si>
    <t>sl. 4</t>
  </si>
  <si>
    <t>sl. 5</t>
  </si>
  <si>
    <t>Příjmy (třída 1 - 4)</t>
  </si>
  <si>
    <t>Daňové příjmy (třída 1)</t>
  </si>
  <si>
    <t>Nedaňové příjmy (třída 2)</t>
  </si>
  <si>
    <t>Kapitálové příjmy (třída 3)</t>
  </si>
  <si>
    <t>Přijaté transfery (třída 4)</t>
  </si>
  <si>
    <t>Příjmy celkem (třída 1 - 4)</t>
  </si>
  <si>
    <t>Financování - příjmy (příjmy třída 8 bez pol. 8117)</t>
  </si>
  <si>
    <t>8115 - Účelový zůstatek minulého roku</t>
  </si>
  <si>
    <t>8115 - Neúčelový zůstatek minulého roku</t>
  </si>
  <si>
    <t>8115 - Čerpání sociálního fondu</t>
  </si>
  <si>
    <t xml:space="preserve">8115 - Čerpání fondu pomoci občanům dotčeným výstavbou komunikace R/48 </t>
  </si>
  <si>
    <t>8115 - Čerpání fondu pomoci občanům dotčeným živelními pohromami</t>
  </si>
  <si>
    <t>8115 - Čerpání fondu obnovy vodovodů a kanalizací</t>
  </si>
  <si>
    <t>8123 - Čerpání úvěru ze SFPI</t>
  </si>
  <si>
    <t>8123 - Čerpání investičního úvěru</t>
  </si>
  <si>
    <t>Financování - příjmy celkem (příjmy třída 8 bez pol. 8117)</t>
  </si>
  <si>
    <t>Celkem zdroje (příjmy + financování)</t>
  </si>
  <si>
    <t>Běžné výdaje (třída 5)</t>
  </si>
  <si>
    <t>Z toho:</t>
  </si>
  <si>
    <r>
      <t>OR</t>
    </r>
    <r>
      <rPr>
        <b/>
        <sz val="10"/>
        <color indexed="8"/>
        <rFont val="Calibri"/>
        <family val="2"/>
        <charset val="238"/>
        <scheme val="minor"/>
      </rPr>
      <t>J 02-Odbor vnitřních věcí</t>
    </r>
  </si>
  <si>
    <t>Výdaje na opravy a udržování</t>
  </si>
  <si>
    <t>Neinvestiční výdaje hrazené ze sociálního fondu</t>
  </si>
  <si>
    <t>Ostatní neinvestiční výdaje odboru vnitřních věcí</t>
  </si>
  <si>
    <t>ORJ 03-Finanční odbor</t>
  </si>
  <si>
    <t>Československá obec legionářská, z. s. - neinvestiční dotace</t>
  </si>
  <si>
    <t>1.1.2024 - 31.12.2024</t>
  </si>
  <si>
    <t>Plánovaná rezerva města</t>
  </si>
  <si>
    <t>Rezerva na odvody a sankce</t>
  </si>
  <si>
    <t>Rezerva na provoz zubní pohotovosti</t>
  </si>
  <si>
    <t>Ostatní neinvestiční výdaje finančního odboru</t>
  </si>
  <si>
    <t>ORJ 04-Odbor správy obecního majetku</t>
  </si>
  <si>
    <t>Ostatní neinvestiční výdaje odboru správy obecního majetku</t>
  </si>
  <si>
    <t>ORJ 05-Živnostenský úřad</t>
  </si>
  <si>
    <t>Sdružení ochrany spotřebitelů Moravy a Slezska - neinvestiční transfer</t>
  </si>
  <si>
    <t>Ostatní neinvestiční výdaje živnostenského úřadu</t>
  </si>
  <si>
    <t>ORJ 06-Odbor ŠKMaT</t>
  </si>
  <si>
    <t>DP Podpora a rozvoj kulturních aktivit ve městě - viz doplňující příloha č. 1</t>
  </si>
  <si>
    <t>viz dopl. příloha č. 1</t>
  </si>
  <si>
    <t>viz dopl. příloha č. 2</t>
  </si>
  <si>
    <t>viz dopl. příloha č. 3</t>
  </si>
  <si>
    <t>MŠ Beruška - na provoz</t>
  </si>
  <si>
    <t>MŠ Pohádka - na provoz</t>
  </si>
  <si>
    <t>ZŠ a MŠ Naděje, F-M, Škarabelova 562 - na provoz MŠ K Hájku</t>
  </si>
  <si>
    <t xml:space="preserve">MŠ Sluníčko - na provoz  </t>
  </si>
  <si>
    <t>MŠ Mateřídouška - na provoz</t>
  </si>
  <si>
    <t>ZŠ a MŠ F-M, Chlebovice - na provoz MŠ Chlebovice</t>
  </si>
  <si>
    <t>ZŠ a MŠ F-M, Skalice - na provoz MŠ Skalice</t>
  </si>
  <si>
    <t>MŠ Sněženka - na provoz</t>
  </si>
  <si>
    <t>ZŠ a MŠ F-M, Lískovec - na provoz MŠ Lískovec</t>
  </si>
  <si>
    <t xml:space="preserve">MŠ Radost - na provoz </t>
  </si>
  <si>
    <t>MŠ Barevný svět - na provoz</t>
  </si>
  <si>
    <t>ZŠ F-M, národního umělce P. Bezruče, tř. TGM 454 - na provoz</t>
  </si>
  <si>
    <t xml:space="preserve">ZŠ F-M, J. Čapka 2555 - na provoz </t>
  </si>
  <si>
    <t xml:space="preserve">ZŠ a MŠ Naděje, F-M, Škarabelova 562 - na provoz ZŠ </t>
  </si>
  <si>
    <t>ZŠ F-M, Komenského 402 - na provoz</t>
  </si>
  <si>
    <t xml:space="preserve">ZŠ F-M, El. Krásnohorské 2254 - na provoz </t>
  </si>
  <si>
    <t>ZŠ F-M, Pionýrů 400 - na provoz</t>
  </si>
  <si>
    <t>ZŠ F-M, 1. máje 1700 - na provoz</t>
  </si>
  <si>
    <t>ZŠ F-M, Československé armády 570 - na provoz</t>
  </si>
  <si>
    <t>ZŠ a MŠ F-M, Lískovec - na provoz ZŠ Lískovec</t>
  </si>
  <si>
    <t>ZŠ a MŠ F-M, Chlebovice - na provoz ZŠ Chlebovice</t>
  </si>
  <si>
    <t>ZŠ F-M, J. z Poděbrad 3109 - na provoz</t>
  </si>
  <si>
    <t>ZŠ a MŠ F-M, Skalice - na provoz ZŠ Skalice</t>
  </si>
  <si>
    <t>Středisko volného času Klíč - na provoz</t>
  </si>
  <si>
    <t>ZUŠ Frýdek-Místek - na provoz</t>
  </si>
  <si>
    <t>Městská knihovna Frýdek-Místek - na provoz</t>
  </si>
  <si>
    <t>Národní dům Frýdek-Místek - na provoz</t>
  </si>
  <si>
    <t>Projekt "Příspěvek na obědy v ZŠ ve FM" - příspěvek s vyúčtováním z toho:- rezerva na obědy žáků s trvalým pobytem na území statutárního města Frýdek-Místek</t>
  </si>
  <si>
    <t>ZŠ Nár. um. P. Bezruče, T.G.M. 454</t>
  </si>
  <si>
    <t>ZŠ Jana Čapka 2555</t>
  </si>
  <si>
    <t>ZŠ Komenského 402</t>
  </si>
  <si>
    <t>ZŠ El. Krásnohorské 2254</t>
  </si>
  <si>
    <t>ZŠ Pionýrů 400</t>
  </si>
  <si>
    <t>ZŠ 1. máje 1700</t>
  </si>
  <si>
    <t>ZŠ Československé armády 570</t>
  </si>
  <si>
    <t>ZŠ J. z Poděbrad 3109</t>
  </si>
  <si>
    <t>ZŠ a MŠ Lískovec</t>
  </si>
  <si>
    <t>ZŠ a MŠ Skalice 192</t>
  </si>
  <si>
    <t>ZŠ a MŠ Naděje</t>
  </si>
  <si>
    <t xml:space="preserve">GOODWILL v. o. š. - Seniorská akademie </t>
  </si>
  <si>
    <t>Paměť národa - POST BELLUM, z.ú.</t>
  </si>
  <si>
    <t>Love production s.r.o. - akce Sweetsen fest</t>
  </si>
  <si>
    <t>Evolution Brothers s.r.o. - akce FM CITY FEST</t>
  </si>
  <si>
    <t>Dětský folklorní soubor Ostravička z.s. - akce Mezinárodní folklorní festival</t>
  </si>
  <si>
    <t>Židovská obec v Ostravě - na opravy židovského hřbitova</t>
  </si>
  <si>
    <t>Římskokatolická farnost Frýdek - na obnovu krypty a dalších prostor baziliky Navštívení ve Frýdku</t>
  </si>
  <si>
    <t>FK Frýdek-Místek z. s. - náklady družstva dospělých fotbalistů</t>
  </si>
  <si>
    <t>Handicap centrum Škola života F-M, o.p.s. - Sportovní olympiáda mentálně postižených</t>
  </si>
  <si>
    <t>Handicap centrum Škola života F-M, o.p.s. - na Zimní hry</t>
  </si>
  <si>
    <t>SKP Frýdek-Místek - náklady družstva dospělých házenkářů</t>
  </si>
  <si>
    <t>TJ Sokol Frýdek-Místek - na náklady družstva dospělých volejbalistek</t>
  </si>
  <si>
    <t>BŠŠ z.s. - na náklady družstva dospělých šachistů a šachistek</t>
  </si>
  <si>
    <t>BŠŠ z. s. - Turnaj šachových nadějí</t>
  </si>
  <si>
    <t>TJ Slezan F-M, z.s. - Hornická destíka</t>
  </si>
  <si>
    <t>TJ Slezan F-M, z.s  - Májové závody</t>
  </si>
  <si>
    <t>SK K2, z. s. - akce F-M sport FEST</t>
  </si>
  <si>
    <t>HC Frýdek-Místek 2015 s. r. o. - náklady družstva dospělých hokejistů</t>
  </si>
  <si>
    <t>Ostatní neinvestiční výdaje odboru ŠKMaT</t>
  </si>
  <si>
    <t>ORJ 07-Odbor dopravy a silničního hospodářství</t>
  </si>
  <si>
    <t>MSK - dopravní obslužnost Česko-Těšínsko</t>
  </si>
  <si>
    <t>MSK - dopravní obslužnost Frýdlantsko</t>
  </si>
  <si>
    <t>MSK - dopravní obslužnost Frýdecko-Místecko</t>
  </si>
  <si>
    <t>MSK - dopravní obslužnost Havířovsko</t>
  </si>
  <si>
    <t>MSK - příspěvek na úhradu protarifovací ztráty v zóně č. 511 (Frýdek, Myslivna)</t>
  </si>
  <si>
    <t>Ostatní neinvestiční výdaje odboru dopravy a silničního hospodářství</t>
  </si>
  <si>
    <t>ORJ 09-Odbor životního prostředí a zemědělství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</si>
  <si>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>neinvestiční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část</t>
    </r>
    <r>
      <rPr>
        <sz val="10"/>
        <color theme="1"/>
        <rFont val="Calibri"/>
        <family val="2"/>
        <charset val="238"/>
        <scheme val="minor"/>
      </rPr>
      <t xml:space="preserve"> - viz doplňující příloha č. 5</t>
    </r>
  </si>
  <si>
    <t>viz dopl. příloha č. 5</t>
  </si>
  <si>
    <t xml:space="preserve">Sdružení vlastníků obecních a soukromých lesů v ČR </t>
  </si>
  <si>
    <t>Spolek pro Faunapark - neinvestiční příspěvek</t>
  </si>
  <si>
    <t xml:space="preserve">Neposedné tlapky, z. s. </t>
  </si>
  <si>
    <t>Ostatní neinvestiční výdaje odboru životního prostředí a zemědělství</t>
  </si>
  <si>
    <t>ORJ 11-Odbor sociálních služeb</t>
  </si>
  <si>
    <t>viz dopl. příloha č. 6</t>
  </si>
  <si>
    <t>viz dopl. příloha č. 9</t>
  </si>
  <si>
    <t>viz dopl. příloha č. 10</t>
  </si>
  <si>
    <t>viz dopl. příloha č. 11</t>
  </si>
  <si>
    <r>
      <t xml:space="preserve">Hospic Frýdek-Místek, p. o. 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Hospicem Frýdek-Místek, p. o. - č. smlouvy 03585/2023/SOC)</t>
    </r>
  </si>
  <si>
    <t>Jesle Frýdek-Místek, p. o. - na provoz</t>
  </si>
  <si>
    <r>
      <t xml:space="preserve">Domov pro seniory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Domovem pro seniory Frýdek-Místek, p. o. - č. smlouvy 03488/2023/SOC)</t>
    </r>
  </si>
  <si>
    <r>
      <t xml:space="preserve">Centrum pečovatelské služby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Centrem pečovatelské služby Frýdek-Místek, p. o. - č. smlouvy 03435/2023/SOC)</t>
    </r>
  </si>
  <si>
    <r>
      <t xml:space="preserve">Penzion pro seniory Frýdek-Místek, p. o. </t>
    </r>
    <r>
      <rPr>
        <i/>
        <sz val="10"/>
        <color indexed="8"/>
        <rFont val="Calibri"/>
        <family val="2"/>
        <charset val="238"/>
        <scheme val="minor"/>
      </rPr>
      <t xml:space="preserve">(přistoupení ke Smlouvě o závazku veřejné služby a vyrovnávací platbě za jeho výkon uzavřené mezi MSK a Penzionem pro seniory Frýdek-Místek, p. o. - č. smlouvy 03592/2023/SOC) </t>
    </r>
  </si>
  <si>
    <r>
      <t xml:space="preserve">ŽIRAFA-Integrované centrum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organizací ŽIRAFA-Integrované centrum Frýdek-Místek, p. o. - č. smlouvy 04214/2023/SOC)</t>
    </r>
  </si>
  <si>
    <t>Asociace poskytovatelů sociálních služeb ČR - členský poplatek</t>
  </si>
  <si>
    <t>Náš svět, p. o., Pržno - středisko Anenská</t>
  </si>
  <si>
    <t>Středisko sociálních služeb Frýdlant n. Ostravicí</t>
  </si>
  <si>
    <t>Medela-péče o seniory, o. p. s.</t>
  </si>
  <si>
    <t>Medela-péče o seniory, o. p. s., Frýdlant n/O</t>
  </si>
  <si>
    <t>Armáda spásy - Domov Přístav Frýdek-Místek</t>
  </si>
  <si>
    <t>Armáda spásy v ČR, z.s. - noclehárna pro muže Ostrava</t>
  </si>
  <si>
    <t>Společně o. p. s. Brno - SeniorPoint</t>
  </si>
  <si>
    <t>Krizové centrum Ostrava</t>
  </si>
  <si>
    <t>Cesta bez bariér</t>
  </si>
  <si>
    <t>Domov sv. Jana Křtitele, s. r. o.</t>
  </si>
  <si>
    <t>ISÚ Komorní Lhotka, p. o.</t>
  </si>
  <si>
    <t>Adámkova vila, Domov se zvlášním režimem, z. ú.</t>
  </si>
  <si>
    <t>Linka bezpečí, z. s.</t>
  </si>
  <si>
    <t>Slezská diakonie, SÁRA F-M - azylový dům pro matky s dětmi</t>
  </si>
  <si>
    <t>Slezská diakonie, SÁRA F-M - azylový dům pro ženy</t>
  </si>
  <si>
    <t>Slezská diakonie, SÁRA F-M - sociální rehabilitace</t>
  </si>
  <si>
    <t>Slezská diakonie, RÚT F-M - sociální rehabilitace</t>
  </si>
  <si>
    <t>Slezská diakonie - projekt "Stravenka F-M"</t>
  </si>
  <si>
    <t>Charita Frýdek-Místek - doučování</t>
  </si>
  <si>
    <t>Charita Frýdek-Místek - Podpora dobrovolnictví</t>
  </si>
  <si>
    <t>Ostatní neinvestiční výdaje odboru sociálních služeb</t>
  </si>
  <si>
    <t>ORJ 12-Investiční odbor</t>
  </si>
  <si>
    <t>Ostatní neinvestiční výdaje investičního odboru</t>
  </si>
  <si>
    <t>ORJ 13-Odbor územního rozvoje a stavebního řádu</t>
  </si>
  <si>
    <t>viz dopl. příloha č. 8</t>
  </si>
  <si>
    <t>viz dopl. příloha č. 7</t>
  </si>
  <si>
    <t>viz dopl. příloha č. 14</t>
  </si>
  <si>
    <t xml:space="preserve">Turistické informační centrum - na provoz </t>
  </si>
  <si>
    <t>Turistické informační centrum - FM plný chutí - příspěvek s vyúčtováním</t>
  </si>
  <si>
    <t>Destinační management turistické oblasti Beskydy - Valašsko, o. p. s. - příspěvek do fondu cestovního ruchu</t>
  </si>
  <si>
    <t>Region Beskydy - neinvestiční dotace</t>
  </si>
  <si>
    <t>Sdružení historických sídel Čech, Moravy a Slezska - členský příspěvek</t>
  </si>
  <si>
    <t>Asociace pro urbanismus - členský příspěvek</t>
  </si>
  <si>
    <t>Svaz měst a obcí ČR - členský příspěvek</t>
  </si>
  <si>
    <t>Partnerství pro městskou mobilitu - členský příspěvek</t>
  </si>
  <si>
    <t>Rezerva na Program DARUJ F≈M</t>
  </si>
  <si>
    <t>Ostatní neinvestiční výdaje odboru územního rozvoje a stavebního řádu</t>
  </si>
  <si>
    <t>ORJ 16-Městská policie</t>
  </si>
  <si>
    <t>Ostatní neinvestiční výdaje Městské policie</t>
  </si>
  <si>
    <t>ORJ 17-Odbor informačních technologií</t>
  </si>
  <si>
    <t>Ostatní neinvestiční výdaje odboru informačních technologií</t>
  </si>
  <si>
    <t>ORJ 18-Odbor bezpečnostních rizik a prevence kriminality</t>
  </si>
  <si>
    <t>Ostatní neinvestiční výdaje odboru bezpečnostních rizik a prevence kriminality</t>
  </si>
  <si>
    <t>Běžné výdaje celkem (třída 5)</t>
  </si>
  <si>
    <t>Kapitálové výdaje (třída 6)</t>
  </si>
  <si>
    <t>ORJ 02-Odbor vnitřních věcí</t>
  </si>
  <si>
    <t>Výdaje na investiční akce</t>
  </si>
  <si>
    <t>Kapitálové výdaje hrazené ze sociálního fondu</t>
  </si>
  <si>
    <t>Ostatní kapitálové výdaje odboru vnitřních věcí</t>
  </si>
  <si>
    <t>Rezerva na požadavky Osadního výboru Chlebovice</t>
  </si>
  <si>
    <t>Rezerva na požadavky Osadního výboru Lískovec</t>
  </si>
  <si>
    <t>Rezerva na požadavky Osadního výboru Zelinkovice-Lysůvky</t>
  </si>
  <si>
    <t>Rezerva na požadavky Osadního výboru Skalice</t>
  </si>
  <si>
    <t>Rezerva na požadavky Osadního výboru Panské Nové Dvory</t>
  </si>
  <si>
    <t>Rezerva na městské investice - v oblasti bytového a nebytového fondu města</t>
  </si>
  <si>
    <t>Rezerva na městské investice - investiční akce ze zásobníku ORJ 12-IO</t>
  </si>
  <si>
    <t>Ostatní kapitálové výdaje finančního odboru</t>
  </si>
  <si>
    <t>Ostatní kapitálové výdaje odboru správy obecního majetku</t>
  </si>
  <si>
    <t>Ostatní kapitálové výdaje živnostenského úřadu</t>
  </si>
  <si>
    <t>Ostatní kapitálové výdaje odboru ŠKMaT</t>
  </si>
  <si>
    <t>Ostatní kapitálové výdaje odboru dopravy a silničního hospodářství</t>
  </si>
  <si>
    <t>Investiční výdaje hrazené z Fondu obnovy vodovodu a kanalizací - Rekonstrukce stoky - ul. Bruzovská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</si>
  <si>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 xml:space="preserve">investiční část </t>
    </r>
    <r>
      <rPr>
        <sz val="10"/>
        <color theme="1"/>
        <rFont val="Calibri"/>
        <family val="2"/>
        <charset val="238"/>
        <scheme val="minor"/>
      </rPr>
      <t>- viz doplňující příloha č. 5</t>
    </r>
  </si>
  <si>
    <t>Individuální dotace vlastníkům vodovodu ul. J. Mahena</t>
  </si>
  <si>
    <t>Ostatní kapitálové výdaje odboru životního prostředí a zemědělství</t>
  </si>
  <si>
    <t xml:space="preserve">Nemocnice ve Frýdku-Místku, p. o. - Smlouva o spolupráci </t>
  </si>
  <si>
    <t>Ostatní kapitálové výdaje odboru sociálních služeb</t>
  </si>
  <si>
    <t>Rezerva na realizaci akcí vybraných z participativního rozpočtu</t>
  </si>
  <si>
    <t>Rezerva na investice</t>
  </si>
  <si>
    <t>Ostatní kapitálové výdaje investičního odboru</t>
  </si>
  <si>
    <t>viz dopl. příloha č. 12</t>
  </si>
  <si>
    <t>Rezerva na spolufinancování dotací</t>
  </si>
  <si>
    <t>Investiční dotace obci Baška na akci "První úsek cyklostezky Frýdek-Místek - Baška, lávka u železniční stanice"</t>
  </si>
  <si>
    <t>Ostatní kapitálové výdaje odboru územního rozvoje a stavebního řádu</t>
  </si>
  <si>
    <t>HZS Moravskoslezský kraj - investiční dotace na rekonstrukci budov hasičské stanice ve Frýdku-Místku</t>
  </si>
  <si>
    <t>Kapitálové výdaje celkem (třída 6)</t>
  </si>
  <si>
    <t>Výdaje celkem (třída 5 - 6)</t>
  </si>
  <si>
    <t>Financování - výdaje (výdaje třída 8 bez pol. 8118)</t>
  </si>
  <si>
    <t>8115 - Sociální fond</t>
  </si>
  <si>
    <t>8115 - Fond pomoci občanům dotčených výstavbou komunikace R/48</t>
  </si>
  <si>
    <t>8115 - Fond pomoci občanům dotčeným živelními pohromami</t>
  </si>
  <si>
    <t>8115 - Fond obnovy vodovodů a kanalizací</t>
  </si>
  <si>
    <t xml:space="preserve">8115 - Účelový zůstatek k 31. 12. </t>
  </si>
  <si>
    <t>8115 - Neúčelový zůstatek k 31. 12.</t>
  </si>
  <si>
    <t>8124 - Splátky úvěrů</t>
  </si>
  <si>
    <t>Financování - výdaje celkem (výdaje třída 8 bez pol. 8118)</t>
  </si>
  <si>
    <t>Celkem potřeby (výdaje + financování)</t>
  </si>
  <si>
    <t>Financování - aktivní krátkodobé operace řízení likvidity (pol. 8117 a 8118)</t>
  </si>
  <si>
    <t>8117/8118 - Aktivní krátkodobé operace řízení likvidity</t>
  </si>
  <si>
    <t>Financování - aktivní krátkodobé operace řízení likvidity celkem (pol. 8117 a 8118)</t>
  </si>
  <si>
    <t>Transdev Slezsko, a.s. - provoz MHD</t>
  </si>
  <si>
    <t>Transdev Slezsko, a.s. - provoz MHD - ÚZ 161</t>
  </si>
  <si>
    <t>Hospic Frýdek-Místek, p. o. - ÚZ 00914</t>
  </si>
  <si>
    <t>Penzion pro seniory Frýdek-Místek, p. o. - ÚZ 00914</t>
  </si>
  <si>
    <t>Centrum pečovatelské služby Frýdek-Místek, p. o. - ÚZ 00914</t>
  </si>
  <si>
    <t>Domov pro seniory Frýdek-Místek, p. o. - ÚZ 00914</t>
  </si>
  <si>
    <t>ŽIRAFA - Integrované centrum Frýdek-Místek, p. o. - ÚZ 00914</t>
  </si>
  <si>
    <t>1.1.2025 - 31.12.2025</t>
  </si>
  <si>
    <t>DP Podpora a rozvoj mládežnického sportu ve městě - viz doplňující příloha č. 2</t>
  </si>
  <si>
    <t>DP Podpora výchovy, vzdělávání a zájmových aktivit - viz doplňující příloha č. 3</t>
  </si>
  <si>
    <t>MAS Pobeskydí, z.s.- F-M ve 3D realitě - sdílení zkušeností</t>
  </si>
  <si>
    <t>Zimní olympiáda dětí a mládeže 2025</t>
  </si>
  <si>
    <t xml:space="preserve">Nemocnice ve F-M, p.o. - na náklady spojené s proškolením žáků ZŠ na KPR </t>
  </si>
  <si>
    <t>Nemocnice ve F-M, p.o. - na náklady spojené s projektem Nebojme se zubaře pro žáky ZŠ</t>
  </si>
  <si>
    <t>Program Podpora výsadby dřevin - viz doplňující příloha č. 4</t>
  </si>
  <si>
    <t>viz dopl. příloha č. 4</t>
  </si>
  <si>
    <t>Neinvestiční výdaje hrazené z Fondu pomoci občanům dotčeným výstavbou komunikace R/48 - viz doplňující příloha č. 14</t>
  </si>
  <si>
    <r>
      <t>DP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Prevence kriminality a protidrogová politika - viz doplňující příloha č. 7</t>
    </r>
  </si>
  <si>
    <t>DP Podpora a rozvoj sociálních služeb ve městě - viz doplňující příloha č. 8</t>
  </si>
  <si>
    <t>DP Podpora a rozvoj činností v oblasti rodinné politiky - viz doplňující příloha č. 9</t>
  </si>
  <si>
    <t>DP Podpora a rozvoj ostatních aktivit navazujících na sociální služby - viz doplňující příloha č. 10</t>
  </si>
  <si>
    <t>DP Regenerace města Frýdku-Místku - viz doplňující příloha č. 11</t>
  </si>
  <si>
    <t>DP Regenerace objektů s historickou nebo historizující fasádou na území města Frýdek-Místek - viz doplňující příloha č. 12</t>
  </si>
  <si>
    <t>DP Reklama F-M - podpora zřízení či obnovy označení provozoven - viz doplňující příloha č. 13</t>
  </si>
  <si>
    <t>viz dopl. příloha č. 13</t>
  </si>
  <si>
    <t>DP Podpora napojení na vodohospodářskou infrastrukturu města - viz doplňující příloha č. 6</t>
  </si>
  <si>
    <t>1.1.2025 - 30.11.2025</t>
  </si>
  <si>
    <t>Svazek obcí Olešná (dříve pod názvem Dobrovolný svazek obcí Olešná) - členský příspěvek</t>
  </si>
  <si>
    <t>Projekt Nordic walking - ÚZ 00801</t>
  </si>
  <si>
    <t>Individuální dotace na úpravu veřejného prostranství ul. 8. pěsího pluku</t>
  </si>
  <si>
    <t>1.1.2025 - 31.10.2025</t>
  </si>
  <si>
    <t>1.1.2025 - 30.6.2026</t>
  </si>
  <si>
    <t>Společnost pro symfonickou a komorní hudbu ve F-M, z.s. - akce a koncerty na území města F-M</t>
  </si>
  <si>
    <t>1.9.2024 - 31.12.2025</t>
  </si>
  <si>
    <t>1.1.2025 - 12.12.2025</t>
  </si>
  <si>
    <t>1.1.2025 - 15.12.2025</t>
  </si>
  <si>
    <t>Schválený                rozpočet                    na rok 2025                                (v tis. Kč)</t>
  </si>
  <si>
    <t>ZŠ a MŠ Chlebovice</t>
  </si>
  <si>
    <t>ZO ČSOP Nový Jičín 70/02 - záchrana volně žijících živočichů</t>
  </si>
  <si>
    <t>SH ČMS - Sbor dobrovolných hasičů Skalice - akce Skalický kopec</t>
  </si>
  <si>
    <t>1.1.2025 - 30.4.2025</t>
  </si>
  <si>
    <t>Sokolík FM z.s. - "Turistický pochod Lískovecká 10"</t>
  </si>
  <si>
    <t>Sokolík FM z.s. - "Fotbalový turnaj Liga Sokolíka 2025"</t>
  </si>
  <si>
    <t>Sokolík FM z.s. - "Nohejbalový turnaj Sokolíka 2025"</t>
  </si>
  <si>
    <t>TJ Slezská - 2. ZŠ FM - "44. vánoční turnaj ve stolním tenise"</t>
  </si>
  <si>
    <t>Sportovní klub orientačního běhu FM z.s. - "Podzimní krajský žebříček v denním oreintačním běhu"</t>
  </si>
  <si>
    <t>Sportovní klub orientačního běhu FM z.s. -"Jarní krajský žebříček v denním orientačním běhu"</t>
  </si>
  <si>
    <t>SH ČMS - Okresní sdružení hasičů FM - "Závod hasičské všestrannosti a brannosti"</t>
  </si>
  <si>
    <t>Zdravotní klaun - na pravidelné klauniády v Nemocnici ve F-M</t>
  </si>
  <si>
    <t>1.1.2025 - 30.6.2025</t>
  </si>
  <si>
    <t>Podané ruce, z. s. - zabezpečení konference k příležitosti 25. výročí organizace - Den vděčnosti</t>
  </si>
  <si>
    <t>1.1.2025 - 31.7.2025</t>
  </si>
  <si>
    <r>
      <t>MUDr. Ivana R</t>
    </r>
    <r>
      <rPr>
        <sz val="10"/>
        <color theme="1"/>
        <rFont val="Tahoma"/>
        <family val="2"/>
        <charset val="238"/>
      </rPr>
      <t>ö</t>
    </r>
    <r>
      <rPr>
        <sz val="11"/>
        <color theme="1"/>
        <rFont val="Calibri"/>
        <family val="2"/>
        <charset val="238"/>
      </rPr>
      <t>schlová - akce Beskydský pediatrický den 2025</t>
    </r>
  </si>
  <si>
    <t>1.1.2025 - 30.5.2025</t>
  </si>
  <si>
    <r>
      <t xml:space="preserve">MŠ Barevný svět FM, Slezská 770 -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Bavlnářská 455")</t>
    </r>
  </si>
  <si>
    <r>
      <t xml:space="preserve">ZŠ a MŠ Lískovec F-M, K Sedlištím 320 - příspěvek poskytnutý ex post - na provoz ZŠ </t>
    </r>
    <r>
      <rPr>
        <i/>
        <sz val="10"/>
        <color theme="1"/>
        <rFont val="Calibri"/>
        <family val="2"/>
        <charset val="238"/>
        <scheme val="minor"/>
      </rPr>
      <t>(na projekt "Přírodní zahrada ZŠ Lískovec")</t>
    </r>
  </si>
  <si>
    <r>
      <t xml:space="preserve">ZŠ a MŠ Lískovec F-M, K Sedlištím 320 - příspěvek poskytnutý ex post - na provoz ZŠ </t>
    </r>
    <r>
      <rPr>
        <i/>
        <sz val="10"/>
        <color theme="1"/>
        <rFont val="Calibri"/>
        <family val="2"/>
        <charset val="238"/>
        <scheme val="minor"/>
      </rPr>
      <t>(na projekt IROP "Modernizace odborných učeben")</t>
    </r>
  </si>
  <si>
    <t>Finanční dar na veřejnou sbírku "DARUJ F≈M - vybavení pro Neposedné tlapky"</t>
  </si>
  <si>
    <r>
      <t xml:space="preserve">MŠ Barevný svět FM, Slezská 770 -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Bavlnářská 455")</t>
    </r>
  </si>
  <si>
    <t>MŠ Sněženka - investiční transfer na vybudování nových výpustí a připojení bazénku - s vyúčtováním</t>
  </si>
  <si>
    <t>ZŠ F-M, národního umělce P. Bezruče, tř. TGM 454 - investiční transfer na zařízení odborné učebny chemie - s vyúčtováním</t>
  </si>
  <si>
    <t>ZŠ F-M, Pionýrů 400 - investiční transfer na obnovu technologie ve školní kuchyni - s vyúčtováním</t>
  </si>
  <si>
    <t>ZŠ a MŠ F-M, Chlebovice - investiční transfer MŠ na vybavení zahrady herními prvky - s vyúčtováním</t>
  </si>
  <si>
    <t>ZŠ F-M, El. Krásnohorské 2254 - investiční transfer na ICT - s vyúčtováním</t>
  </si>
  <si>
    <r>
      <t xml:space="preserve">ZŠ a MŠ Lískovec F-M, K Sedlištím 320 - investiční transfer poskytnutý ex post ZŠ - bez vyúčtování </t>
    </r>
    <r>
      <rPr>
        <i/>
        <sz val="10"/>
        <color theme="1"/>
        <rFont val="Calibri"/>
        <family val="2"/>
        <charset val="238"/>
        <scheme val="minor"/>
      </rPr>
      <t>(na projekt IROP "Modernizace odborných učeben")</t>
    </r>
  </si>
  <si>
    <t>Středisko volného času Klíč - investiční transfer na pořízení služebního auta - s vyúčtováním</t>
  </si>
  <si>
    <t>ŽIRAFA - Integrované centrum Frýdek-Místek, p. o. - investiční transfer na nákup 4 XL bike boxu - s vyúčtováním</t>
  </si>
  <si>
    <t>Finanční dar na veřejnou sbírku "DARUJ F≈M - Vozidlo pro bezbariérovou přepravu"</t>
  </si>
  <si>
    <t>sl. 6</t>
  </si>
  <si>
    <t>SH ČMS - Sbor dobrovolných hasičů Lískovec - akce Ples SDH Lískovec</t>
  </si>
  <si>
    <t>Tenisový klub TENNISPOINT ve Frýdku-Místku - zabezpečení tenisových turnajů kategorie A - dorostenci: Pohár primátora města Frýdku-Místku 2025 a mladší žáci: Štít města Frýdku-Místku 2025</t>
  </si>
  <si>
    <t>Rozpočtová opatření RM       č. 1 - 29                  (v tis. Kč)</t>
  </si>
  <si>
    <t>1. změna rozpočtu                    (v tis. Kč)</t>
  </si>
  <si>
    <t>Way of Warrior z. s. - turnaj Mistrovství Evropy Combat ju jitsu</t>
  </si>
  <si>
    <t>Beskydská volejbalová liga amatérů, z.s. - 16. ročník "Region Beskydy" volejbalové ligy</t>
  </si>
  <si>
    <t>1.1.2025 - 31.5.2025</t>
  </si>
  <si>
    <t>ZŠ a MŠ F-M, Lískovec - ÚZ 17519</t>
  </si>
  <si>
    <t>ZŠ a MŠ F-M, Lískovec - ÚZ 17518</t>
  </si>
  <si>
    <t>ZŠ F-M, Pionýrů 400 - ÚZ 17519</t>
  </si>
  <si>
    <t>ZŠ F-M, Pionýrů 400 - ÚZ 17518</t>
  </si>
  <si>
    <t>Farní sbor českobratrské církve evangelické ve Frýdku-Místku - na opravu fasády kostela</t>
  </si>
  <si>
    <t>1.10.2024 - 30.9.2026</t>
  </si>
  <si>
    <t>MŠ Pohádka - ÚZ 33092</t>
  </si>
  <si>
    <t>1.1.2025 - 31.12.2026</t>
  </si>
  <si>
    <t>ZŠ a MŠ F-M, Lískovec - ÚZ 17085</t>
  </si>
  <si>
    <t>ZŠ a MŠ F-M, Lískovec - ÚZ 17084</t>
  </si>
  <si>
    <t>ZŠ F-M, Pionýrů 400 - ÚZ 17085</t>
  </si>
  <si>
    <t>ZŠ F-M, Pionýrů 400 - ÚZ 17084</t>
  </si>
  <si>
    <t>ProJantar s.r.o. - zabezpečení Galavečeru předávání Cen Jantar 2024</t>
  </si>
  <si>
    <t>SH ČMS - Sbor dobrovolných hasičů Skalice - účast družstva žen na závodech v klasických disciplínách CTIF</t>
  </si>
  <si>
    <t>MŠ Radost - ÚZ 33092</t>
  </si>
  <si>
    <t>MŠ Beruška - ÚZ 33092</t>
  </si>
  <si>
    <t>1.9.2024 - 31.8.2026</t>
  </si>
  <si>
    <t>MŠ Mateřídouška - ÚZ 33092</t>
  </si>
  <si>
    <t>MŠ Barevný svět - ÚZ 33092</t>
  </si>
  <si>
    <t>ZŠ F-M, J. Čapka 2555 - ÚZ 33092</t>
  </si>
  <si>
    <t>1.2.2025 - 31.1.2027</t>
  </si>
  <si>
    <t>MŠ Sluníčko - ÚZ 33092</t>
  </si>
  <si>
    <t>1.12.2024 - 31.12.2026</t>
  </si>
  <si>
    <t>ZŠ F-M, Pionýrů 400 - ÚZ 33092</t>
  </si>
  <si>
    <t>MŠ Sluníčko - ÚZ 00911</t>
  </si>
  <si>
    <t>1.2.2024 - 30.6.2025</t>
  </si>
  <si>
    <t>MŠ Sluníčko - ÚZ 00253</t>
  </si>
  <si>
    <t>MŠ Sněženka - ÚZ 00911</t>
  </si>
  <si>
    <t>2.9.2024 - 30.6.2025</t>
  </si>
  <si>
    <t>MŠ Sněženka - ÚZ 00253</t>
  </si>
  <si>
    <t>MŠ Radost - ÚZ 00911</t>
  </si>
  <si>
    <t>MŠ Radost - ÚZ 00253</t>
  </si>
  <si>
    <t>ZŠ F-M, El. Krásnohorské 2254 - ÚZ 00911</t>
  </si>
  <si>
    <t>ZŠ F-M, El. Krásnohorské 2254 - ÚZ 00253</t>
  </si>
  <si>
    <t>MŠ Mateřídouška - ÚZ 00911</t>
  </si>
  <si>
    <t>MŠ Mateřídouška - ÚZ 00253</t>
  </si>
  <si>
    <t>ZŠ a MŠ F-M, Chlebovice - na provoz MŠ Chlebovice - ÚZ 33092</t>
  </si>
  <si>
    <t>ZŠ a MŠ F-M, Chlebovice - na provoz ZŠ Chlebovice - ÚZ 33092</t>
  </si>
  <si>
    <t>TRDLA - divadelní společnost absolutních neherců, z. s. - projekt KLAUNOSANATORIUM</t>
  </si>
  <si>
    <t>Nadační fond Pavla Novotného - na činnost dobrovolníků a na projekt "Dny urologické prevence"</t>
  </si>
  <si>
    <t>Svaz postižených civilizačními chorobami v ČR, z. s., okresní organizace F-M - na celoroční činnost spolku</t>
  </si>
  <si>
    <t>Jsem jedno ucho, z. s. - na besedy "Jsem jedno ucho pro ZŠ a SŠ"</t>
  </si>
  <si>
    <t>Ostatní neinvestiční výdaje odboru právního a organizačního</t>
  </si>
  <si>
    <t>Navínko s.r.o. - zabezpečení akce Frýdek-Místek žije vínem 2025</t>
  </si>
  <si>
    <t>Sjednocená organizace nevidomých a slabozrakých ČR, z.s. - Festival Dny umění nevidomých 2025</t>
  </si>
  <si>
    <t>ZŠ F-M, El. Krásnohorské 2254 - ÚZ 33092</t>
  </si>
  <si>
    <t>1.2.2025 - 30.6.2027</t>
  </si>
  <si>
    <t>ZŠ F-M, Komensiého 402 - ÚZ 33092</t>
  </si>
  <si>
    <t>ZŠ F-M, Československé armády 570 - ÚZ 33092</t>
  </si>
  <si>
    <t>MŠ Pohádka - ÚZ 00911</t>
  </si>
  <si>
    <t>MŠ Pohádka - ÚZ 00253</t>
  </si>
  <si>
    <t>ZŠ a MŠ Naděje, F-M, Škarabelova 562 - na provoz MŠ K Hájku - ÚZ 00911</t>
  </si>
  <si>
    <t>ZŠ a MŠ Naděje, F-M, Škarabelova 562 - na provoz ZŠ - ÚZ 00911</t>
  </si>
  <si>
    <t>2.9.20245 - 30.6.2025</t>
  </si>
  <si>
    <t>ZŠ a MŠ Naděje, F-M, Škarabelova 562 - na provoz MŠ K Hájku - ÚZ 00253</t>
  </si>
  <si>
    <t>MŠ Beruška - ÚZ 00911</t>
  </si>
  <si>
    <t>MŠ Beruška - ÚZ 00253</t>
  </si>
  <si>
    <t>ZŠ F-M, El. Krásnohorské 2254 - ÚZ 33093</t>
  </si>
  <si>
    <t>Městská knihovna frýdek-Místek - ÚZ 00345</t>
  </si>
  <si>
    <t>Nemocnice ve F-M, p. o. - Den zdraví</t>
  </si>
  <si>
    <t>SH ČMS - Sbor dobrovolných hasičů Chlebovice - zabezpečení akce Dětský den s hasiči</t>
  </si>
  <si>
    <t>Český svaz chovatelů, z.s., Základní organizace Místek 1 - zabezpečení Výstavy holubů okrasných a strukturovaných plemen, drůbeže a králíků</t>
  </si>
  <si>
    <t>1.1.2025 - 5.12.2025</t>
  </si>
  <si>
    <t>CANNONEERS, z.s. - zabezpečení akce První výstřel 2025</t>
  </si>
  <si>
    <t>Rozpočtová opatření RM       č. 30 - 70                  (v tis. Kč)</t>
  </si>
  <si>
    <t>1.1.2025 - 13.12.2025</t>
  </si>
  <si>
    <t>1.1.2025 - 28.2.2026</t>
  </si>
  <si>
    <t>Sportplex Frýdek-Místek, s.r.o. - investiční dotace</t>
  </si>
  <si>
    <t>MŠ Radost - investiční transfer na rekonstrukci vodoinstalace na MŠ Anenská 656 - s vyúčtováním</t>
  </si>
  <si>
    <t>MŠ Pohádka - investiční transfer na výměnu nákladních výtahů na budově MŠ Třanovského 404 - s vyúčtováním</t>
  </si>
  <si>
    <t>ZŠ F-M, 1. máje 1700 - investiční transfer na pořízení vybavení sportovní haly - s vyúčtováním</t>
  </si>
  <si>
    <t>1.1.2023 - 31.12.2025</t>
  </si>
  <si>
    <t xml:space="preserve">ORJ 01-Odbor právní a organizační </t>
  </si>
  <si>
    <t>Ostatní kapitálové výdaje odboru právního a organizačního</t>
  </si>
  <si>
    <t>Sportplex Frýdek-Místek, s.r.o. - neinvestiční dotace</t>
  </si>
  <si>
    <t>ZŠ a MŠ Naděje, F-M, Škarabelova 562 - na provoz ZŠ - ÚZ 00253</t>
  </si>
  <si>
    <t>Rozpočet roku 2025            po 1. změně a po rozpočtových opatřeních RM                 č. 1 - 79                                (v tis. Kč)</t>
  </si>
  <si>
    <t>2. změna rozpočtu                         (v tis. Kč)</t>
  </si>
  <si>
    <t>sl. 7</t>
  </si>
  <si>
    <t>Rozpočet roku 2025 po 2. změně a po rozpočtových opatřeních RM                  č. 1 - 80                               (v tis. Kč)</t>
  </si>
  <si>
    <t>Rozpočtové opatření RM       č. 80                   (v tis. 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</si>
</sst>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Tahoma"/>
      <family val="2"/>
      <charset val="238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6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4" fontId="4" fillId="0" borderId="8" xfId="0" applyNumberFormat="1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4" fontId="4" fillId="0" borderId="10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4" fontId="4" fillId="0" borderId="12" xfId="0" applyNumberFormat="1" applyFont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4" fontId="4" fillId="0" borderId="6" xfId="0" applyNumberFormat="1" applyFont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4" fontId="4" fillId="5" borderId="3" xfId="0" applyNumberFormat="1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5" fillId="6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horizontal="left" vertical="center" wrapText="1"/>
    </xf>
    <xf numFmtId="4" fontId="4" fillId="7" borderId="3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horizontal="left" vertical="center" wrapText="1"/>
    </xf>
    <xf numFmtId="4" fontId="3" fillId="8" borderId="3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4" fontId="4" fillId="3" borderId="10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3" xfId="0" applyFont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/>
    </xf>
    <xf numFmtId="0" fontId="3" fillId="7" borderId="3" xfId="0" applyFont="1" applyFill="1" applyBorder="1" applyAlignment="1">
      <alignment horizontal="center" vertical="center"/>
    </xf>
    <xf numFmtId="4" fontId="3" fillId="7" borderId="3" xfId="0" applyNumberFormat="1" applyFont="1" applyFill="1" applyBorder="1" applyAlignment="1">
      <alignment vertical="center"/>
    </xf>
    <xf numFmtId="0" fontId="4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3" borderId="0" xfId="0" applyFill="1"/>
    <xf numFmtId="0" fontId="4" fillId="0" borderId="6" xfId="0" applyFont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vertical="center" wrapText="1"/>
    </xf>
    <xf numFmtId="0" fontId="0" fillId="0" borderId="18" xfId="0" applyBorder="1"/>
    <xf numFmtId="0" fontId="0" fillId="4" borderId="17" xfId="0" applyFill="1" applyBorder="1"/>
    <xf numFmtId="0" fontId="0" fillId="0" borderId="6" xfId="0" applyBorder="1"/>
    <xf numFmtId="0" fontId="0" fillId="4" borderId="3" xfId="0" applyFill="1" applyBorder="1"/>
    <xf numFmtId="0" fontId="6" fillId="3" borderId="10" xfId="0" applyFont="1" applyFill="1" applyBorder="1" applyAlignment="1">
      <alignment horizontal="center"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8" xfId="0" applyNumberFormat="1" applyFont="1" applyBorder="1" applyAlignment="1">
      <alignment horizontal="right" vertical="center"/>
    </xf>
    <xf numFmtId="4" fontId="4" fillId="0" borderId="19" xfId="0" applyNumberFormat="1" applyFont="1" applyBorder="1" applyAlignment="1">
      <alignment vertical="center"/>
    </xf>
    <xf numFmtId="4" fontId="5" fillId="4" borderId="3" xfId="0" applyNumberFormat="1" applyFont="1" applyFill="1" applyBorder="1" applyAlignment="1">
      <alignment vertical="center"/>
    </xf>
    <xf numFmtId="4" fontId="4" fillId="0" borderId="6" xfId="0" applyNumberFormat="1" applyFont="1" applyBorder="1" applyAlignment="1">
      <alignment horizontal="right" vertical="center"/>
    </xf>
    <xf numFmtId="4" fontId="3" fillId="5" borderId="3" xfId="0" applyNumberFormat="1" applyFont="1" applyFill="1" applyBorder="1" applyAlignment="1">
      <alignment vertical="center"/>
    </xf>
    <xf numFmtId="4" fontId="5" fillId="6" borderId="3" xfId="0" applyNumberFormat="1" applyFont="1" applyFill="1" applyBorder="1" applyAlignment="1">
      <alignment vertical="center"/>
    </xf>
    <xf numFmtId="4" fontId="4" fillId="0" borderId="20" xfId="0" applyNumberFormat="1" applyFont="1" applyBorder="1" applyAlignment="1">
      <alignment vertical="center"/>
    </xf>
    <xf numFmtId="4" fontId="4" fillId="0" borderId="12" xfId="0" applyNumberFormat="1" applyFont="1" applyBorder="1" applyAlignment="1">
      <alignment horizontal="right" vertical="center"/>
    </xf>
    <xf numFmtId="4" fontId="4" fillId="3" borderId="10" xfId="0" applyNumberFormat="1" applyFont="1" applyFill="1" applyBorder="1" applyAlignment="1">
      <alignment horizontal="right" vertical="center"/>
    </xf>
    <xf numFmtId="0" fontId="1" fillId="2" borderId="25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0" borderId="16" xfId="0" applyBorder="1"/>
    <xf numFmtId="0" fontId="0" fillId="4" borderId="15" xfId="0" applyFill="1" applyBorder="1"/>
    <xf numFmtId="4" fontId="4" fillId="0" borderId="18" xfId="0" applyNumberFormat="1" applyFont="1" applyBorder="1" applyAlignment="1">
      <alignment vertical="center"/>
    </xf>
    <xf numFmtId="4" fontId="5" fillId="5" borderId="3" xfId="0" applyNumberFormat="1" applyFont="1" applyFill="1" applyBorder="1" applyAlignment="1">
      <alignment horizontal="right" vertical="center"/>
    </xf>
    <xf numFmtId="4" fontId="3" fillId="5" borderId="3" xfId="0" applyNumberFormat="1" applyFont="1" applyFill="1" applyBorder="1" applyAlignment="1">
      <alignment horizontal="right" vertical="center"/>
    </xf>
    <xf numFmtId="4" fontId="5" fillId="6" borderId="3" xfId="0" applyNumberFormat="1" applyFont="1" applyFill="1" applyBorder="1" applyAlignment="1">
      <alignment horizontal="right" vertical="center"/>
    </xf>
    <xf numFmtId="0" fontId="5" fillId="7" borderId="1" xfId="0" applyFont="1" applyFill="1" applyBorder="1" applyAlignment="1">
      <alignment vertical="center"/>
    </xf>
    <xf numFmtId="0" fontId="5" fillId="7" borderId="3" xfId="0" applyFont="1" applyFill="1" applyBorder="1" applyAlignment="1">
      <alignment horizontal="center" vertical="center"/>
    </xf>
    <xf numFmtId="4" fontId="4" fillId="3" borderId="12" xfId="0" applyNumberFormat="1" applyFont="1" applyFill="1" applyBorder="1" applyAlignment="1">
      <alignment horizontal="right" vertical="center"/>
    </xf>
    <xf numFmtId="4" fontId="7" fillId="8" borderId="3" xfId="0" applyNumberFormat="1" applyFont="1" applyFill="1" applyBorder="1" applyAlignment="1">
      <alignment horizontal="right" vertical="center"/>
    </xf>
    <xf numFmtId="0" fontId="7" fillId="7" borderId="3" xfId="0" applyFont="1" applyFill="1" applyBorder="1" applyAlignment="1">
      <alignment horizontal="center" vertical="center"/>
    </xf>
    <xf numFmtId="4" fontId="4" fillId="0" borderId="26" xfId="0" applyNumberFormat="1" applyFont="1" applyBorder="1" applyAlignment="1">
      <alignment vertical="center"/>
    </xf>
    <xf numFmtId="4" fontId="4" fillId="0" borderId="27" xfId="0" applyNumberFormat="1" applyFont="1" applyBorder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0" fontId="4" fillId="0" borderId="11" xfId="0" applyFont="1" applyBorder="1" applyAlignment="1">
      <alignment vertical="top" wrapText="1"/>
    </xf>
    <xf numFmtId="4" fontId="4" fillId="0" borderId="6" xfId="0" applyNumberFormat="1" applyFont="1" applyBorder="1" applyAlignment="1">
      <alignment vertical="top"/>
    </xf>
    <xf numFmtId="4" fontId="4" fillId="0" borderId="12" xfId="0" applyNumberFormat="1" applyFont="1" applyBorder="1" applyAlignment="1">
      <alignment horizontal="right" vertical="top"/>
    </xf>
    <xf numFmtId="4" fontId="6" fillId="0" borderId="8" xfId="0" applyNumberFormat="1" applyFont="1" applyBorder="1" applyAlignment="1">
      <alignment horizontal="right" vertical="center"/>
    </xf>
    <xf numFmtId="4" fontId="6" fillId="0" borderId="10" xfId="0" applyNumberFormat="1" applyFont="1" applyBorder="1" applyAlignment="1">
      <alignment horizontal="right" vertical="center"/>
    </xf>
    <xf numFmtId="4" fontId="14" fillId="8" borderId="3" xfId="0" applyNumberFormat="1" applyFont="1" applyFill="1" applyBorder="1" applyAlignment="1">
      <alignment vertical="center"/>
    </xf>
    <xf numFmtId="4" fontId="6" fillId="0" borderId="8" xfId="0" applyNumberFormat="1" applyFont="1" applyBorder="1" applyAlignment="1">
      <alignment vertical="center"/>
    </xf>
    <xf numFmtId="4" fontId="6" fillId="0" borderId="10" xfId="0" applyNumberFormat="1" applyFont="1" applyBorder="1" applyAlignment="1">
      <alignment vertical="center"/>
    </xf>
    <xf numFmtId="0" fontId="15" fillId="8" borderId="1" xfId="0" applyFont="1" applyFill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2" fillId="2" borderId="17" xfId="0" applyFont="1" applyFill="1" applyBorder="1" applyAlignment="1">
      <alignment horizontal="center"/>
    </xf>
    <xf numFmtId="4" fontId="4" fillId="0" borderId="6" xfId="0" applyNumberFormat="1" applyFont="1" applyBorder="1" applyAlignment="1">
      <alignment horizontal="right" vertical="top"/>
    </xf>
    <xf numFmtId="0" fontId="0" fillId="8" borderId="3" xfId="0" applyFill="1" applyBorder="1" applyAlignment="1">
      <alignment horizontal="center" vertical="center"/>
    </xf>
    <xf numFmtId="4" fontId="4" fillId="0" borderId="5" xfId="0" applyNumberFormat="1" applyFont="1" applyBorder="1" applyAlignment="1">
      <alignment vertical="center"/>
    </xf>
    <xf numFmtId="0" fontId="5" fillId="3" borderId="4" xfId="0" applyFont="1" applyFill="1" applyBorder="1" applyAlignment="1">
      <alignment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vertical="center" wrapText="1"/>
    </xf>
    <xf numFmtId="4" fontId="5" fillId="3" borderId="6" xfId="0" applyNumberFormat="1" applyFont="1" applyFill="1" applyBorder="1" applyAlignment="1">
      <alignment horizontal="right" vertical="center"/>
    </xf>
    <xf numFmtId="4" fontId="4" fillId="3" borderId="6" xfId="0" applyNumberFormat="1" applyFont="1" applyFill="1" applyBorder="1" applyAlignment="1">
      <alignment horizontal="right" vertical="center"/>
    </xf>
    <xf numFmtId="4" fontId="3" fillId="7" borderId="17" xfId="0" applyNumberFormat="1" applyFont="1" applyFill="1" applyBorder="1" applyAlignment="1">
      <alignment vertical="center"/>
    </xf>
    <xf numFmtId="4" fontId="4" fillId="7" borderId="17" xfId="0" applyNumberFormat="1" applyFont="1" applyFill="1" applyBorder="1" applyAlignment="1">
      <alignment vertical="center"/>
    </xf>
    <xf numFmtId="4" fontId="5" fillId="4" borderId="17" xfId="0" applyNumberFormat="1" applyFont="1" applyFill="1" applyBorder="1" applyAlignment="1">
      <alignment vertical="center"/>
    </xf>
    <xf numFmtId="4" fontId="3" fillId="5" borderId="17" xfId="0" applyNumberFormat="1" applyFont="1" applyFill="1" applyBorder="1" applyAlignment="1">
      <alignment vertical="center"/>
    </xf>
    <xf numFmtId="4" fontId="4" fillId="5" borderId="17" xfId="0" applyNumberFormat="1" applyFont="1" applyFill="1" applyBorder="1" applyAlignment="1">
      <alignment vertical="center"/>
    </xf>
    <xf numFmtId="4" fontId="5" fillId="6" borderId="17" xfId="0" applyNumberFormat="1" applyFont="1" applyFill="1" applyBorder="1" applyAlignment="1">
      <alignment vertical="center"/>
    </xf>
    <xf numFmtId="4" fontId="3" fillId="8" borderId="17" xfId="0" applyNumberFormat="1" applyFont="1" applyFill="1" applyBorder="1" applyAlignment="1">
      <alignment vertical="center"/>
    </xf>
    <xf numFmtId="4" fontId="0" fillId="0" borderId="8" xfId="0" applyNumberFormat="1" applyBorder="1" applyAlignment="1">
      <alignment vertical="center"/>
    </xf>
    <xf numFmtId="0" fontId="4" fillId="3" borderId="5" xfId="0" applyFont="1" applyFill="1" applyBorder="1" applyAlignment="1">
      <alignment horizontal="center" vertical="center"/>
    </xf>
    <xf numFmtId="0" fontId="4" fillId="0" borderId="28" xfId="0" applyFont="1" applyBorder="1" applyAlignment="1">
      <alignment vertical="center" wrapText="1"/>
    </xf>
    <xf numFmtId="4" fontId="3" fillId="8" borderId="3" xfId="0" applyNumberFormat="1" applyFont="1" applyFill="1" applyBorder="1" applyAlignment="1">
      <alignment horizontal="right" vertical="center"/>
    </xf>
    <xf numFmtId="4" fontId="14" fillId="8" borderId="3" xfId="0" applyNumberFormat="1" applyFont="1" applyFill="1" applyBorder="1" applyAlignment="1">
      <alignment horizontal="right" vertical="center"/>
    </xf>
    <xf numFmtId="0" fontId="7" fillId="8" borderId="29" xfId="0" applyFont="1" applyFill="1" applyBorder="1" applyAlignment="1">
      <alignment vertical="center" wrapText="1"/>
    </xf>
    <xf numFmtId="0" fontId="3" fillId="3" borderId="28" xfId="0" applyFont="1" applyFill="1" applyBorder="1" applyAlignment="1">
      <alignment vertical="center"/>
    </xf>
    <xf numFmtId="0" fontId="3" fillId="7" borderId="29" xfId="0" applyFont="1" applyFill="1" applyBorder="1" applyAlignment="1">
      <alignment vertical="center"/>
    </xf>
    <xf numFmtId="0" fontId="4" fillId="3" borderId="30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4" fontId="4" fillId="0" borderId="32" xfId="0" applyNumberFormat="1" applyFont="1" applyBorder="1" applyAlignment="1">
      <alignment vertical="center"/>
    </xf>
    <xf numFmtId="0" fontId="4" fillId="3" borderId="27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/>
    </xf>
    <xf numFmtId="0" fontId="0" fillId="4" borderId="34" xfId="0" applyFill="1" applyBorder="1"/>
    <xf numFmtId="4" fontId="5" fillId="4" borderId="34" xfId="0" applyNumberFormat="1" applyFont="1" applyFill="1" applyBorder="1" applyAlignment="1">
      <alignment vertical="center"/>
    </xf>
    <xf numFmtId="4" fontId="4" fillId="5" borderId="34" xfId="0" applyNumberFormat="1" applyFont="1" applyFill="1" applyBorder="1" applyAlignment="1">
      <alignment vertical="center"/>
    </xf>
    <xf numFmtId="4" fontId="3" fillId="5" borderId="34" xfId="0" applyNumberFormat="1" applyFont="1" applyFill="1" applyBorder="1" applyAlignment="1">
      <alignment vertical="center"/>
    </xf>
    <xf numFmtId="4" fontId="5" fillId="6" borderId="34" xfId="0" applyNumberFormat="1" applyFont="1" applyFill="1" applyBorder="1" applyAlignment="1">
      <alignment vertical="center"/>
    </xf>
    <xf numFmtId="4" fontId="4" fillId="7" borderId="34" xfId="0" applyNumberFormat="1" applyFont="1" applyFill="1" applyBorder="1" applyAlignment="1">
      <alignment vertical="center"/>
    </xf>
    <xf numFmtId="4" fontId="3" fillId="8" borderId="2" xfId="0" applyNumberFormat="1" applyFont="1" applyFill="1" applyBorder="1" applyAlignment="1">
      <alignment vertical="center"/>
    </xf>
    <xf numFmtId="4" fontId="4" fillId="0" borderId="31" xfId="0" applyNumberFormat="1" applyFont="1" applyBorder="1" applyAlignment="1">
      <alignment vertical="center"/>
    </xf>
    <xf numFmtId="4" fontId="3" fillId="8" borderId="34" xfId="0" applyNumberFormat="1" applyFont="1" applyFill="1" applyBorder="1" applyAlignment="1">
      <alignment vertical="center"/>
    </xf>
    <xf numFmtId="4" fontId="4" fillId="0" borderId="35" xfId="0" applyNumberFormat="1" applyFont="1" applyBorder="1" applyAlignment="1">
      <alignment vertical="center"/>
    </xf>
    <xf numFmtId="4" fontId="3" fillId="7" borderId="34" xfId="0" applyNumberFormat="1" applyFont="1" applyFill="1" applyBorder="1" applyAlignment="1">
      <alignment vertical="center"/>
    </xf>
    <xf numFmtId="0" fontId="4" fillId="0" borderId="13" xfId="0" applyFont="1" applyBorder="1" applyAlignment="1">
      <alignment vertical="center"/>
    </xf>
    <xf numFmtId="4" fontId="7" fillId="8" borderId="3" xfId="0" applyNumberFormat="1" applyFont="1" applyFill="1" applyBorder="1" applyAlignment="1">
      <alignment vertical="center"/>
    </xf>
    <xf numFmtId="4" fontId="7" fillId="8" borderId="34" xfId="0" applyNumberFormat="1" applyFont="1" applyFill="1" applyBorder="1" applyAlignment="1">
      <alignment vertical="center"/>
    </xf>
    <xf numFmtId="4" fontId="0" fillId="0" borderId="0" xfId="0" applyNumberFormat="1"/>
    <xf numFmtId="0" fontId="3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7" fillId="8" borderId="36" xfId="0" applyFont="1" applyFill="1" applyBorder="1" applyAlignment="1">
      <alignment vertical="center"/>
    </xf>
    <xf numFmtId="0" fontId="7" fillId="8" borderId="37" xfId="0" applyFont="1" applyFill="1" applyBorder="1" applyAlignment="1">
      <alignment horizontal="center" vertical="center"/>
    </xf>
    <xf numFmtId="4" fontId="3" fillId="8" borderId="37" xfId="0" applyNumberFormat="1" applyFont="1" applyFill="1" applyBorder="1" applyAlignment="1">
      <alignment vertical="center"/>
    </xf>
    <xf numFmtId="4" fontId="3" fillId="8" borderId="38" xfId="0" applyNumberFormat="1" applyFont="1" applyFill="1" applyBorder="1" applyAlignment="1">
      <alignment vertical="center"/>
    </xf>
    <xf numFmtId="4" fontId="3" fillId="8" borderId="39" xfId="0" applyNumberFormat="1" applyFont="1" applyFill="1" applyBorder="1" applyAlignment="1">
      <alignment vertical="center"/>
    </xf>
    <xf numFmtId="0" fontId="7" fillId="8" borderId="36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vertical="center"/>
    </xf>
    <xf numFmtId="0" fontId="4" fillId="3" borderId="26" xfId="0" applyFont="1" applyFill="1" applyBorder="1" applyAlignment="1">
      <alignment horizontal="center" vertical="center"/>
    </xf>
    <xf numFmtId="4" fontId="4" fillId="0" borderId="0" xfId="0" applyNumberFormat="1" applyFont="1" applyAlignment="1">
      <alignment vertical="center"/>
    </xf>
    <xf numFmtId="4" fontId="4" fillId="0" borderId="40" xfId="0" applyNumberFormat="1" applyFont="1" applyBorder="1" applyAlignment="1">
      <alignment vertical="center"/>
    </xf>
    <xf numFmtId="4" fontId="4" fillId="0" borderId="41" xfId="0" applyNumberFormat="1" applyFont="1" applyBorder="1" applyAlignment="1">
      <alignment vertical="center"/>
    </xf>
    <xf numFmtId="4" fontId="4" fillId="0" borderId="42" xfId="0" applyNumberFormat="1" applyFont="1" applyBorder="1" applyAlignment="1">
      <alignment vertical="center"/>
    </xf>
    <xf numFmtId="0" fontId="4" fillId="0" borderId="14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E5AE5-CE95-469F-969B-928B635BFF1B}">
  <dimension ref="A1:K390"/>
  <sheetViews>
    <sheetView tabSelected="1" view="pageLayout" topLeftCell="A372" zoomScale="110" zoomScaleNormal="100" zoomScalePageLayoutView="110" workbookViewId="0">
      <selection activeCell="N249" sqref="N249:N252"/>
    </sheetView>
  </sheetViews>
  <sheetFormatPr defaultColWidth="9.125" defaultRowHeight="14.3" x14ac:dyDescent="0.25"/>
  <cols>
    <col min="1" max="1" width="57.625" customWidth="1"/>
    <col min="2" max="2" width="15.75" style="150" customWidth="1"/>
    <col min="3" max="3" width="13" customWidth="1"/>
    <col min="4" max="4" width="10.625" hidden="1" customWidth="1"/>
    <col min="5" max="5" width="11.375" hidden="1" customWidth="1"/>
    <col min="6" max="6" width="0.125" hidden="1" customWidth="1"/>
    <col min="7" max="7" width="13.25" customWidth="1"/>
    <col min="8" max="8" width="10.625" customWidth="1"/>
    <col min="9" max="9" width="9" bestFit="1" customWidth="1"/>
    <col min="10" max="10" width="12.625" customWidth="1"/>
    <col min="11" max="11" width="11.5" bestFit="1" customWidth="1"/>
  </cols>
  <sheetData>
    <row r="1" spans="1:11" ht="72" customHeight="1" thickBot="1" x14ac:dyDescent="0.3">
      <c r="A1" s="72" t="s">
        <v>0</v>
      </c>
      <c r="B1" s="73" t="s">
        <v>1</v>
      </c>
      <c r="C1" s="74" t="s">
        <v>257</v>
      </c>
      <c r="D1" s="75" t="s">
        <v>292</v>
      </c>
      <c r="E1" s="74" t="s">
        <v>293</v>
      </c>
      <c r="F1" s="74" t="s">
        <v>361</v>
      </c>
      <c r="G1" s="129" t="s">
        <v>373</v>
      </c>
      <c r="H1" s="74" t="s">
        <v>374</v>
      </c>
      <c r="I1" s="74" t="s">
        <v>377</v>
      </c>
      <c r="J1" s="71" t="s">
        <v>376</v>
      </c>
    </row>
    <row r="2" spans="1:11" ht="13.6" customHeight="1" thickBot="1" x14ac:dyDescent="0.3">
      <c r="A2" s="1" t="s">
        <v>2</v>
      </c>
      <c r="B2" s="2" t="s">
        <v>3</v>
      </c>
      <c r="C2" s="3" t="s">
        <v>4</v>
      </c>
      <c r="D2" s="3" t="s">
        <v>5</v>
      </c>
      <c r="E2" s="3" t="s">
        <v>6</v>
      </c>
      <c r="F2" s="3" t="s">
        <v>289</v>
      </c>
      <c r="G2" s="130" t="s">
        <v>5</v>
      </c>
      <c r="H2" s="3" t="s">
        <v>6</v>
      </c>
      <c r="I2" s="3" t="s">
        <v>289</v>
      </c>
      <c r="J2" s="101" t="s">
        <v>375</v>
      </c>
    </row>
    <row r="3" spans="1:11" ht="9.6999999999999993" customHeight="1" thickBot="1" x14ac:dyDescent="0.3">
      <c r="A3" s="4"/>
      <c r="B3" s="5"/>
      <c r="C3" s="58"/>
      <c r="D3" s="76"/>
      <c r="E3" s="58"/>
      <c r="F3" s="58"/>
      <c r="H3" s="58"/>
      <c r="I3" s="58"/>
      <c r="J3" s="56"/>
    </row>
    <row r="4" spans="1:11" ht="16.5" customHeight="1" thickBot="1" x14ac:dyDescent="0.3">
      <c r="A4" s="6" t="s">
        <v>7</v>
      </c>
      <c r="B4" s="146"/>
      <c r="C4" s="59"/>
      <c r="D4" s="77"/>
      <c r="E4" s="59"/>
      <c r="F4" s="59"/>
      <c r="G4" s="131"/>
      <c r="H4" s="59"/>
      <c r="I4" s="59"/>
      <c r="J4" s="57"/>
    </row>
    <row r="5" spans="1:11" ht="14.95" customHeight="1" x14ac:dyDescent="0.25">
      <c r="A5" s="7" t="s">
        <v>8</v>
      </c>
      <c r="B5" s="29"/>
      <c r="C5" s="8">
        <v>1306067</v>
      </c>
      <c r="D5" s="8">
        <v>0</v>
      </c>
      <c r="E5" s="8">
        <v>19763.5</v>
      </c>
      <c r="F5" s="8">
        <v>0</v>
      </c>
      <c r="G5" s="127">
        <f>SUM(C5:F5)</f>
        <v>1325830.5</v>
      </c>
      <c r="H5" s="8">
        <v>0</v>
      </c>
      <c r="I5" s="8">
        <v>0</v>
      </c>
      <c r="J5" s="63">
        <f>SUM(G5:I5)</f>
        <v>1325830.5</v>
      </c>
    </row>
    <row r="6" spans="1:11" ht="14.95" customHeight="1" x14ac:dyDescent="0.25">
      <c r="A6" s="7" t="s">
        <v>9</v>
      </c>
      <c r="B6" s="29"/>
      <c r="C6" s="8">
        <v>225641</v>
      </c>
      <c r="D6" s="10">
        <f>475.74+167.01+1065.77</f>
        <v>1708.52</v>
      </c>
      <c r="E6" s="10">
        <v>-789.78</v>
      </c>
      <c r="F6" s="8">
        <f>57.17+67.31+329.6+44.57+79.79</f>
        <v>578.44000000000005</v>
      </c>
      <c r="G6" s="127">
        <f>SUM(C6:F6)+199.95</f>
        <v>227338.13</v>
      </c>
      <c r="H6" s="8">
        <v>18674.34</v>
      </c>
      <c r="I6" s="8">
        <v>0</v>
      </c>
      <c r="J6" s="63">
        <f t="shared" ref="J6:J69" si="0">SUM(G6:I6)</f>
        <v>246012.47</v>
      </c>
    </row>
    <row r="7" spans="1:11" ht="14.95" customHeight="1" x14ac:dyDescent="0.25">
      <c r="A7" s="9" t="s">
        <v>10</v>
      </c>
      <c r="B7" s="31"/>
      <c r="C7" s="8">
        <v>61500</v>
      </c>
      <c r="D7" s="10">
        <v>0</v>
      </c>
      <c r="E7" s="10">
        <v>0</v>
      </c>
      <c r="F7" s="8">
        <v>0</v>
      </c>
      <c r="G7" s="127">
        <f t="shared" ref="G7:G86" si="1">SUM(C7:F7)</f>
        <v>61500</v>
      </c>
      <c r="H7" s="8">
        <v>883</v>
      </c>
      <c r="I7" s="8">
        <v>0</v>
      </c>
      <c r="J7" s="63">
        <f t="shared" si="0"/>
        <v>62383</v>
      </c>
    </row>
    <row r="8" spans="1:11" ht="14.95" customHeight="1" thickBot="1" x14ac:dyDescent="0.3">
      <c r="A8" s="11" t="s">
        <v>11</v>
      </c>
      <c r="B8" s="27"/>
      <c r="C8" s="15">
        <v>249289.98</v>
      </c>
      <c r="D8" s="12">
        <f>7933.14</f>
        <v>7933.14</v>
      </c>
      <c r="E8" s="12">
        <v>-8922</v>
      </c>
      <c r="F8" s="15">
        <f>6072.39+9267.92+2163.34</f>
        <v>17503.650000000001</v>
      </c>
      <c r="G8" s="161">
        <f t="shared" si="1"/>
        <v>265804.77</v>
      </c>
      <c r="H8" s="15">
        <v>16983.009999999998</v>
      </c>
      <c r="I8" s="15">
        <v>0</v>
      </c>
      <c r="J8" s="78">
        <f t="shared" si="0"/>
        <v>282787.78000000003</v>
      </c>
    </row>
    <row r="9" spans="1:11" ht="16.5" customHeight="1" thickBot="1" x14ac:dyDescent="0.3">
      <c r="A9" s="13" t="s">
        <v>12</v>
      </c>
      <c r="B9" s="147"/>
      <c r="C9" s="64">
        <f t="shared" ref="C9:H9" si="2">SUM(C5:C8)</f>
        <v>1842497.98</v>
      </c>
      <c r="D9" s="64">
        <f t="shared" si="2"/>
        <v>9641.66</v>
      </c>
      <c r="E9" s="64">
        <f t="shared" si="2"/>
        <v>10051.720000000001</v>
      </c>
      <c r="F9" s="64">
        <f t="shared" si="2"/>
        <v>18082.09</v>
      </c>
      <c r="G9" s="132">
        <f t="shared" si="2"/>
        <v>1880473.4</v>
      </c>
      <c r="H9" s="64">
        <f t="shared" si="2"/>
        <v>36540.35</v>
      </c>
      <c r="I9" s="64">
        <f>SUM(I5:I8)</f>
        <v>0</v>
      </c>
      <c r="J9" s="112">
        <f>SUM(G9:I9)</f>
        <v>1917013.75</v>
      </c>
      <c r="K9" s="145"/>
    </row>
    <row r="10" spans="1:11" ht="12.75" customHeight="1" thickBot="1" x14ac:dyDescent="0.3">
      <c r="A10" s="14"/>
      <c r="B10" s="53"/>
      <c r="C10" s="15"/>
      <c r="D10" s="15"/>
      <c r="E10" s="15"/>
      <c r="F10" s="15"/>
      <c r="G10" s="161"/>
      <c r="H10" s="15"/>
      <c r="I10" s="15"/>
      <c r="J10" s="78"/>
    </row>
    <row r="11" spans="1:11" ht="14.95" customHeight="1" thickBot="1" x14ac:dyDescent="0.3">
      <c r="A11" s="16" t="s">
        <v>13</v>
      </c>
      <c r="B11" s="49"/>
      <c r="C11" s="17"/>
      <c r="D11" s="17"/>
      <c r="E11" s="17"/>
      <c r="F11" s="17"/>
      <c r="G11" s="133"/>
      <c r="H11" s="17"/>
      <c r="I11" s="17"/>
      <c r="J11" s="114"/>
    </row>
    <row r="12" spans="1:11" ht="14.95" customHeight="1" x14ac:dyDescent="0.25">
      <c r="A12" s="7" t="s">
        <v>14</v>
      </c>
      <c r="B12" s="29"/>
      <c r="C12" s="8">
        <v>518930.57</v>
      </c>
      <c r="D12" s="8">
        <f>24.46+483.3+178.41</f>
        <v>686.17</v>
      </c>
      <c r="E12" s="8">
        <v>88366.47</v>
      </c>
      <c r="F12" s="8">
        <v>0</v>
      </c>
      <c r="G12" s="127">
        <f t="shared" si="1"/>
        <v>607983.21</v>
      </c>
      <c r="H12" s="8">
        <v>0</v>
      </c>
      <c r="I12" s="8">
        <v>0</v>
      </c>
      <c r="J12" s="63">
        <f t="shared" si="0"/>
        <v>607983.21</v>
      </c>
    </row>
    <row r="13" spans="1:11" ht="14.95" customHeight="1" x14ac:dyDescent="0.25">
      <c r="A13" s="9" t="s">
        <v>15</v>
      </c>
      <c r="B13" s="31"/>
      <c r="C13" s="62">
        <v>63707.6</v>
      </c>
      <c r="D13" s="10">
        <v>0</v>
      </c>
      <c r="E13" s="10">
        <v>139247.65</v>
      </c>
      <c r="F13" s="8">
        <v>0</v>
      </c>
      <c r="G13" s="127">
        <f t="shared" si="1"/>
        <v>202955.25</v>
      </c>
      <c r="H13" s="8">
        <v>0</v>
      </c>
      <c r="I13" s="8">
        <v>0</v>
      </c>
      <c r="J13" s="63">
        <f t="shared" si="0"/>
        <v>202955.25</v>
      </c>
    </row>
    <row r="14" spans="1:11" ht="14.95" customHeight="1" x14ac:dyDescent="0.25">
      <c r="A14" s="9" t="s">
        <v>16</v>
      </c>
      <c r="B14" s="31"/>
      <c r="C14" s="62">
        <v>14462</v>
      </c>
      <c r="D14" s="10">
        <v>0</v>
      </c>
      <c r="E14" s="10">
        <v>0</v>
      </c>
      <c r="F14" s="8">
        <v>0</v>
      </c>
      <c r="G14" s="127">
        <f t="shared" si="1"/>
        <v>14462</v>
      </c>
      <c r="H14" s="8">
        <v>0</v>
      </c>
      <c r="I14" s="8">
        <v>0</v>
      </c>
      <c r="J14" s="63">
        <f t="shared" si="0"/>
        <v>14462</v>
      </c>
    </row>
    <row r="15" spans="1:11" ht="14.95" customHeight="1" x14ac:dyDescent="0.25">
      <c r="A15" s="9" t="s">
        <v>17</v>
      </c>
      <c r="B15" s="31"/>
      <c r="C15" s="62">
        <v>2450</v>
      </c>
      <c r="D15" s="10">
        <v>0</v>
      </c>
      <c r="E15" s="10">
        <v>-930</v>
      </c>
      <c r="F15" s="8">
        <v>0</v>
      </c>
      <c r="G15" s="127">
        <f t="shared" si="1"/>
        <v>1520</v>
      </c>
      <c r="H15" s="8">
        <v>0</v>
      </c>
      <c r="I15" s="8">
        <v>0</v>
      </c>
      <c r="J15" s="63">
        <f t="shared" si="0"/>
        <v>1520</v>
      </c>
    </row>
    <row r="16" spans="1:11" ht="14.95" customHeight="1" x14ac:dyDescent="0.25">
      <c r="A16" s="9" t="s">
        <v>18</v>
      </c>
      <c r="B16" s="31"/>
      <c r="C16" s="62">
        <v>0</v>
      </c>
      <c r="D16" s="61">
        <v>0</v>
      </c>
      <c r="E16" s="61">
        <v>0</v>
      </c>
      <c r="F16" s="62">
        <v>0</v>
      </c>
      <c r="G16" s="127">
        <f t="shared" si="1"/>
        <v>0</v>
      </c>
      <c r="H16" s="8">
        <v>0</v>
      </c>
      <c r="I16" s="8">
        <v>0</v>
      </c>
      <c r="J16" s="63">
        <f t="shared" si="0"/>
        <v>0</v>
      </c>
    </row>
    <row r="17" spans="1:11" ht="14.95" customHeight="1" x14ac:dyDescent="0.25">
      <c r="A17" s="9" t="s">
        <v>19</v>
      </c>
      <c r="B17" s="31"/>
      <c r="C17" s="62">
        <v>3000</v>
      </c>
      <c r="D17" s="10">
        <v>0</v>
      </c>
      <c r="E17" s="10">
        <v>0</v>
      </c>
      <c r="F17" s="8">
        <v>0</v>
      </c>
      <c r="G17" s="127">
        <f>SUM(C17:F17)</f>
        <v>3000</v>
      </c>
      <c r="H17" s="8">
        <v>0</v>
      </c>
      <c r="I17" s="8">
        <v>0</v>
      </c>
      <c r="J17" s="63">
        <f t="shared" si="0"/>
        <v>3000</v>
      </c>
    </row>
    <row r="18" spans="1:11" ht="14.95" customHeight="1" x14ac:dyDescent="0.25">
      <c r="A18" s="19" t="s">
        <v>20</v>
      </c>
      <c r="B18" s="31"/>
      <c r="C18" s="62">
        <v>0</v>
      </c>
      <c r="D18" s="61">
        <v>0</v>
      </c>
      <c r="E18" s="61">
        <v>0</v>
      </c>
      <c r="F18" s="62">
        <v>0</v>
      </c>
      <c r="G18" s="127">
        <f t="shared" si="1"/>
        <v>0</v>
      </c>
      <c r="H18" s="8">
        <v>0</v>
      </c>
      <c r="I18" s="8">
        <v>0</v>
      </c>
      <c r="J18" s="63">
        <f t="shared" si="0"/>
        <v>0</v>
      </c>
    </row>
    <row r="19" spans="1:11" ht="14.95" customHeight="1" thickBot="1" x14ac:dyDescent="0.3">
      <c r="A19" s="11" t="s">
        <v>21</v>
      </c>
      <c r="B19" s="27"/>
      <c r="C19" s="65">
        <v>0</v>
      </c>
      <c r="D19" s="69">
        <v>0</v>
      </c>
      <c r="E19" s="69">
        <v>0</v>
      </c>
      <c r="F19" s="65">
        <v>0</v>
      </c>
      <c r="G19" s="161">
        <f t="shared" si="1"/>
        <v>0</v>
      </c>
      <c r="H19" s="15">
        <v>0</v>
      </c>
      <c r="I19" s="15">
        <v>0</v>
      </c>
      <c r="J19" s="78">
        <f t="shared" si="0"/>
        <v>0</v>
      </c>
    </row>
    <row r="20" spans="1:11" ht="15.8" customHeight="1" thickBot="1" x14ac:dyDescent="0.3">
      <c r="A20" s="16" t="s">
        <v>22</v>
      </c>
      <c r="B20" s="50"/>
      <c r="C20" s="66">
        <f t="shared" ref="C20:I20" si="3">SUM(C12:C19)</f>
        <v>602550.17000000004</v>
      </c>
      <c r="D20" s="66">
        <f t="shared" si="3"/>
        <v>686.17</v>
      </c>
      <c r="E20" s="66">
        <f t="shared" si="3"/>
        <v>226684.12</v>
      </c>
      <c r="F20" s="66">
        <f t="shared" si="3"/>
        <v>0</v>
      </c>
      <c r="G20" s="134">
        <f t="shared" si="3"/>
        <v>829920.46</v>
      </c>
      <c r="H20" s="66">
        <f t="shared" si="3"/>
        <v>0</v>
      </c>
      <c r="I20" s="66">
        <f t="shared" si="3"/>
        <v>0</v>
      </c>
      <c r="J20" s="113">
        <f t="shared" si="0"/>
        <v>829920.46</v>
      </c>
      <c r="K20" s="145"/>
    </row>
    <row r="21" spans="1:11" ht="17.350000000000001" customHeight="1" thickBot="1" x14ac:dyDescent="0.3">
      <c r="A21" s="20" t="s">
        <v>23</v>
      </c>
      <c r="B21" s="51"/>
      <c r="C21" s="67">
        <f>C9+C20</f>
        <v>2445048.15</v>
      </c>
      <c r="D21" s="67">
        <f>SUM(D9+D20)</f>
        <v>10327.83</v>
      </c>
      <c r="E21" s="67">
        <f>SUM(E9+E20)</f>
        <v>236735.84</v>
      </c>
      <c r="F21" s="67">
        <f>SUM(F9+F20)</f>
        <v>18082.09</v>
      </c>
      <c r="G21" s="135">
        <f>SUM(G9+G20)</f>
        <v>2710393.86</v>
      </c>
      <c r="H21" s="67">
        <f>H9+H20</f>
        <v>36540.35</v>
      </c>
      <c r="I21" s="67">
        <f>SUM(I9+I20)</f>
        <v>0</v>
      </c>
      <c r="J21" s="115">
        <f>SUM(G21:I21)</f>
        <v>2746934.21</v>
      </c>
      <c r="K21" s="145"/>
    </row>
    <row r="22" spans="1:11" ht="10.55" customHeight="1" thickBot="1" x14ac:dyDescent="0.3">
      <c r="A22" s="14"/>
      <c r="B22" s="53"/>
      <c r="C22" s="15"/>
      <c r="D22" s="15"/>
      <c r="E22" s="15"/>
      <c r="F22" s="15"/>
      <c r="G22" s="161"/>
      <c r="H22" s="15"/>
      <c r="I22" s="15"/>
      <c r="J22" s="78"/>
    </row>
    <row r="23" spans="1:11" ht="14.3" customHeight="1" thickBot="1" x14ac:dyDescent="0.3">
      <c r="A23" s="21" t="s">
        <v>24</v>
      </c>
      <c r="B23" s="148"/>
      <c r="C23" s="22"/>
      <c r="D23" s="22"/>
      <c r="E23" s="22"/>
      <c r="F23" s="22"/>
      <c r="G23" s="136"/>
      <c r="H23" s="22"/>
      <c r="I23" s="22"/>
      <c r="J23" s="111"/>
    </row>
    <row r="24" spans="1:11" ht="14.95" customHeight="1" thickBot="1" x14ac:dyDescent="0.3">
      <c r="A24" s="23" t="s">
        <v>369</v>
      </c>
      <c r="B24" s="32"/>
      <c r="C24" s="24">
        <f t="shared" ref="C24:I24" si="4">SUM(C26:C41)</f>
        <v>8374</v>
      </c>
      <c r="D24" s="24">
        <f t="shared" si="4"/>
        <v>0</v>
      </c>
      <c r="E24" s="24">
        <f t="shared" si="4"/>
        <v>200</v>
      </c>
      <c r="F24" s="24">
        <f t="shared" si="4"/>
        <v>0</v>
      </c>
      <c r="G24" s="137">
        <f t="shared" si="4"/>
        <v>8574</v>
      </c>
      <c r="H24" s="24">
        <f t="shared" si="4"/>
        <v>0</v>
      </c>
      <c r="I24" s="24">
        <f t="shared" si="4"/>
        <v>0</v>
      </c>
      <c r="J24" s="116">
        <f t="shared" si="0"/>
        <v>8574</v>
      </c>
      <c r="K24" s="145"/>
    </row>
    <row r="25" spans="1:11" ht="12.9" customHeight="1" x14ac:dyDescent="0.25">
      <c r="A25" s="25" t="s">
        <v>25</v>
      </c>
      <c r="B25" s="29"/>
      <c r="C25" s="8"/>
      <c r="D25" s="8"/>
      <c r="E25" s="8"/>
      <c r="F25" s="8"/>
      <c r="G25" s="127"/>
      <c r="H25" s="8"/>
      <c r="I25" s="8"/>
      <c r="J25" s="63"/>
    </row>
    <row r="26" spans="1:11" ht="27.2" x14ac:dyDescent="0.25">
      <c r="A26" s="25" t="s">
        <v>295</v>
      </c>
      <c r="B26" s="29" t="s">
        <v>296</v>
      </c>
      <c r="C26" s="8">
        <v>0</v>
      </c>
      <c r="D26" s="8">
        <f>50</f>
        <v>50</v>
      </c>
      <c r="E26" s="8">
        <v>0</v>
      </c>
      <c r="F26" s="8">
        <v>0</v>
      </c>
      <c r="G26" s="127">
        <f t="shared" si="1"/>
        <v>50</v>
      </c>
      <c r="H26" s="8">
        <v>0</v>
      </c>
      <c r="I26" s="8">
        <v>0</v>
      </c>
      <c r="J26" s="63">
        <f t="shared" si="0"/>
        <v>50</v>
      </c>
    </row>
    <row r="27" spans="1:11" ht="14.95" customHeight="1" x14ac:dyDescent="0.25">
      <c r="A27" s="25" t="s">
        <v>360</v>
      </c>
      <c r="B27" s="29" t="s">
        <v>272</v>
      </c>
      <c r="C27" s="8">
        <v>0</v>
      </c>
      <c r="D27" s="8">
        <v>0</v>
      </c>
      <c r="E27" s="8">
        <v>0</v>
      </c>
      <c r="F27" s="8">
        <f>15</f>
        <v>15</v>
      </c>
      <c r="G27" s="127">
        <f t="shared" ref="G27:G32" si="5">SUM(C27:F27)</f>
        <v>15</v>
      </c>
      <c r="H27" s="8">
        <v>0</v>
      </c>
      <c r="I27" s="8">
        <v>0</v>
      </c>
      <c r="J27" s="63">
        <f t="shared" si="0"/>
        <v>15</v>
      </c>
    </row>
    <row r="28" spans="1:11" ht="27.2" x14ac:dyDescent="0.25">
      <c r="A28" s="25" t="s">
        <v>358</v>
      </c>
      <c r="B28" s="29" t="s">
        <v>359</v>
      </c>
      <c r="C28" s="8">
        <v>0</v>
      </c>
      <c r="D28" s="8">
        <v>0</v>
      </c>
      <c r="E28" s="8">
        <v>0</v>
      </c>
      <c r="F28" s="8">
        <f>15</f>
        <v>15</v>
      </c>
      <c r="G28" s="127">
        <f t="shared" si="5"/>
        <v>15</v>
      </c>
      <c r="H28" s="8">
        <v>0</v>
      </c>
      <c r="I28" s="8">
        <v>0</v>
      </c>
      <c r="J28" s="63">
        <f t="shared" si="0"/>
        <v>15</v>
      </c>
    </row>
    <row r="29" spans="1:11" ht="14.95" customHeight="1" x14ac:dyDescent="0.25">
      <c r="A29" s="25" t="s">
        <v>273</v>
      </c>
      <c r="B29" s="29" t="s">
        <v>274</v>
      </c>
      <c r="C29" s="8">
        <v>0</v>
      </c>
      <c r="D29" s="8">
        <f>50</f>
        <v>50</v>
      </c>
      <c r="E29" s="8">
        <v>0</v>
      </c>
      <c r="F29" s="8">
        <v>0</v>
      </c>
      <c r="G29" s="127">
        <f t="shared" si="5"/>
        <v>50</v>
      </c>
      <c r="H29" s="8">
        <v>0</v>
      </c>
      <c r="I29" s="10">
        <v>0</v>
      </c>
      <c r="J29" s="63">
        <f t="shared" si="0"/>
        <v>50</v>
      </c>
    </row>
    <row r="30" spans="1:11" ht="14.95" customHeight="1" x14ac:dyDescent="0.25">
      <c r="A30" s="25" t="s">
        <v>340</v>
      </c>
      <c r="B30" s="29" t="s">
        <v>247</v>
      </c>
      <c r="C30" s="8">
        <v>0</v>
      </c>
      <c r="D30" s="8">
        <v>0</v>
      </c>
      <c r="E30" s="8">
        <v>0</v>
      </c>
      <c r="F30" s="8">
        <f>100</f>
        <v>100</v>
      </c>
      <c r="G30" s="127">
        <f t="shared" si="5"/>
        <v>100</v>
      </c>
      <c r="H30" s="8">
        <v>0</v>
      </c>
      <c r="I30" s="8">
        <v>0</v>
      </c>
      <c r="J30" s="63">
        <f t="shared" si="0"/>
        <v>100</v>
      </c>
    </row>
    <row r="31" spans="1:11" ht="27.2" x14ac:dyDescent="0.25">
      <c r="A31" s="25" t="s">
        <v>271</v>
      </c>
      <c r="B31" s="29" t="s">
        <v>272</v>
      </c>
      <c r="C31" s="8">
        <v>0</v>
      </c>
      <c r="D31" s="8">
        <f>60</f>
        <v>60</v>
      </c>
      <c r="E31" s="8">
        <v>0</v>
      </c>
      <c r="F31" s="8">
        <v>0</v>
      </c>
      <c r="G31" s="127">
        <f t="shared" si="5"/>
        <v>60</v>
      </c>
      <c r="H31" s="8">
        <v>0</v>
      </c>
      <c r="I31" s="8">
        <v>0</v>
      </c>
      <c r="J31" s="63">
        <f t="shared" si="0"/>
        <v>60</v>
      </c>
    </row>
    <row r="32" spans="1:11" ht="14.95" customHeight="1" x14ac:dyDescent="0.25">
      <c r="A32" s="25" t="s">
        <v>309</v>
      </c>
      <c r="B32" s="29" t="s">
        <v>272</v>
      </c>
      <c r="C32" s="8">
        <v>0</v>
      </c>
      <c r="D32" s="8">
        <v>0</v>
      </c>
      <c r="E32" s="8">
        <v>0</v>
      </c>
      <c r="F32" s="8">
        <f>50</f>
        <v>50</v>
      </c>
      <c r="G32" s="127">
        <f t="shared" si="5"/>
        <v>50</v>
      </c>
      <c r="H32" s="8">
        <v>0</v>
      </c>
      <c r="I32" s="8">
        <v>0</v>
      </c>
      <c r="J32" s="63">
        <f t="shared" si="0"/>
        <v>50</v>
      </c>
    </row>
    <row r="33" spans="1:11" ht="14.95" customHeight="1" x14ac:dyDescent="0.25">
      <c r="A33" s="30" t="s">
        <v>260</v>
      </c>
      <c r="B33" s="31" t="s">
        <v>251</v>
      </c>
      <c r="C33" s="10">
        <v>0</v>
      </c>
      <c r="D33" s="10">
        <f>35</f>
        <v>35</v>
      </c>
      <c r="E33" s="10">
        <v>0</v>
      </c>
      <c r="F33" s="8">
        <v>0</v>
      </c>
      <c r="G33" s="127">
        <f t="shared" si="1"/>
        <v>35</v>
      </c>
      <c r="H33" s="8">
        <v>0</v>
      </c>
      <c r="I33" s="8">
        <v>0</v>
      </c>
      <c r="J33" s="63">
        <f t="shared" si="0"/>
        <v>35</v>
      </c>
    </row>
    <row r="34" spans="1:11" ht="28.55" customHeight="1" x14ac:dyDescent="0.25">
      <c r="A34" s="25" t="s">
        <v>310</v>
      </c>
      <c r="B34" s="29" t="s">
        <v>247</v>
      </c>
      <c r="C34" s="8">
        <v>0</v>
      </c>
      <c r="D34" s="8">
        <v>0</v>
      </c>
      <c r="E34" s="8">
        <v>0</v>
      </c>
      <c r="F34" s="8">
        <f>30</f>
        <v>30</v>
      </c>
      <c r="G34" s="127">
        <f>SUM(C34:F34)</f>
        <v>30</v>
      </c>
      <c r="H34" s="8">
        <v>0</v>
      </c>
      <c r="I34" s="8">
        <v>0</v>
      </c>
      <c r="J34" s="63">
        <f t="shared" si="0"/>
        <v>30</v>
      </c>
    </row>
    <row r="35" spans="1:11" ht="25.15" customHeight="1" x14ac:dyDescent="0.25">
      <c r="A35" s="25" t="s">
        <v>357</v>
      </c>
      <c r="B35" s="29" t="s">
        <v>272</v>
      </c>
      <c r="C35" s="8">
        <v>0</v>
      </c>
      <c r="D35" s="8">
        <v>0</v>
      </c>
      <c r="E35" s="8">
        <v>0</v>
      </c>
      <c r="F35" s="8">
        <f>20</f>
        <v>20</v>
      </c>
      <c r="G35" s="127">
        <f>SUM(C35:F35)</f>
        <v>20</v>
      </c>
      <c r="H35" s="8">
        <v>0</v>
      </c>
      <c r="I35" s="8">
        <v>0</v>
      </c>
      <c r="J35" s="63">
        <f t="shared" si="0"/>
        <v>20</v>
      </c>
    </row>
    <row r="36" spans="1:11" ht="14.95" customHeight="1" x14ac:dyDescent="0.25">
      <c r="A36" s="25" t="s">
        <v>290</v>
      </c>
      <c r="B36" s="29" t="s">
        <v>261</v>
      </c>
      <c r="C36" s="8">
        <v>0</v>
      </c>
      <c r="D36" s="8">
        <f>10</f>
        <v>10</v>
      </c>
      <c r="E36" s="8">
        <v>0</v>
      </c>
      <c r="F36" s="8">
        <v>0</v>
      </c>
      <c r="G36" s="127">
        <f t="shared" si="1"/>
        <v>10</v>
      </c>
      <c r="H36" s="8">
        <v>0</v>
      </c>
      <c r="I36" s="8">
        <v>0</v>
      </c>
      <c r="J36" s="63">
        <f t="shared" si="0"/>
        <v>10</v>
      </c>
    </row>
    <row r="37" spans="1:11" ht="25.5" customHeight="1" x14ac:dyDescent="0.25">
      <c r="A37" s="25" t="s">
        <v>341</v>
      </c>
      <c r="B37" s="29" t="s">
        <v>251</v>
      </c>
      <c r="C37" s="8">
        <v>0</v>
      </c>
      <c r="D37" s="8">
        <v>0</v>
      </c>
      <c r="E37" s="8">
        <v>0</v>
      </c>
      <c r="F37" s="8">
        <f>20</f>
        <v>20</v>
      </c>
      <c r="G37" s="127">
        <f>SUM(C37:F37)</f>
        <v>20</v>
      </c>
      <c r="H37" s="8">
        <v>0</v>
      </c>
      <c r="I37" s="8">
        <v>0</v>
      </c>
      <c r="J37" s="63">
        <f t="shared" si="0"/>
        <v>20</v>
      </c>
    </row>
    <row r="38" spans="1:11" ht="14.95" customHeight="1" x14ac:dyDescent="0.25">
      <c r="A38" s="25" t="s">
        <v>294</v>
      </c>
      <c r="B38" s="29" t="s">
        <v>272</v>
      </c>
      <c r="C38" s="8">
        <v>0</v>
      </c>
      <c r="D38" s="8">
        <f>60</f>
        <v>60</v>
      </c>
      <c r="E38" s="8">
        <v>0</v>
      </c>
      <c r="F38" s="8">
        <v>0</v>
      </c>
      <c r="G38" s="127">
        <f t="shared" si="1"/>
        <v>60</v>
      </c>
      <c r="H38" s="8">
        <v>0</v>
      </c>
      <c r="I38" s="8">
        <v>0</v>
      </c>
      <c r="J38" s="63">
        <f t="shared" si="0"/>
        <v>60</v>
      </c>
    </row>
    <row r="39" spans="1:11" ht="42.8" customHeight="1" x14ac:dyDescent="0.25">
      <c r="A39" s="30" t="s">
        <v>291</v>
      </c>
      <c r="B39" s="31" t="s">
        <v>270</v>
      </c>
      <c r="C39" s="10">
        <v>0</v>
      </c>
      <c r="D39" s="10">
        <f>50</f>
        <v>50</v>
      </c>
      <c r="E39" s="10">
        <v>0</v>
      </c>
      <c r="F39" s="8">
        <v>0</v>
      </c>
      <c r="G39" s="127">
        <f t="shared" si="1"/>
        <v>50</v>
      </c>
      <c r="H39" s="8">
        <v>0</v>
      </c>
      <c r="I39" s="8">
        <v>0</v>
      </c>
      <c r="J39" s="63">
        <f t="shared" si="0"/>
        <v>50</v>
      </c>
    </row>
    <row r="40" spans="1:11" ht="14.95" customHeight="1" x14ac:dyDescent="0.25">
      <c r="A40" s="30" t="s">
        <v>259</v>
      </c>
      <c r="B40" s="31" t="s">
        <v>247</v>
      </c>
      <c r="C40" s="10">
        <v>0</v>
      </c>
      <c r="D40" s="10">
        <f>80</f>
        <v>80</v>
      </c>
      <c r="E40" s="10">
        <v>0</v>
      </c>
      <c r="F40" s="10">
        <v>0</v>
      </c>
      <c r="G40" s="138">
        <f t="shared" si="1"/>
        <v>80</v>
      </c>
      <c r="H40" s="10">
        <v>0</v>
      </c>
      <c r="I40" s="8">
        <v>0</v>
      </c>
      <c r="J40" s="63">
        <f t="shared" si="0"/>
        <v>80</v>
      </c>
    </row>
    <row r="41" spans="1:11" ht="14.95" customHeight="1" thickBot="1" x14ac:dyDescent="0.3">
      <c r="A41" s="89" t="s">
        <v>339</v>
      </c>
      <c r="B41" s="53"/>
      <c r="C41" s="15">
        <v>8374</v>
      </c>
      <c r="D41" s="15">
        <f>-125-160-110</f>
        <v>-395</v>
      </c>
      <c r="E41" s="15">
        <v>200</v>
      </c>
      <c r="F41" s="15">
        <f>-80-120-50</f>
        <v>-250</v>
      </c>
      <c r="G41" s="161">
        <f t="shared" si="1"/>
        <v>7929</v>
      </c>
      <c r="H41" s="15">
        <v>0</v>
      </c>
      <c r="I41" s="15">
        <v>0</v>
      </c>
      <c r="J41" s="78">
        <f t="shared" si="0"/>
        <v>7929</v>
      </c>
    </row>
    <row r="42" spans="1:11" ht="15.65" customHeight="1" thickBot="1" x14ac:dyDescent="0.3">
      <c r="A42" s="23" t="s">
        <v>26</v>
      </c>
      <c r="B42" s="32"/>
      <c r="C42" s="143">
        <f t="shared" ref="C42:I42" si="6">SUM(C44:C46)</f>
        <v>361210</v>
      </c>
      <c r="D42" s="143">
        <f t="shared" si="6"/>
        <v>0</v>
      </c>
      <c r="E42" s="143">
        <f t="shared" si="6"/>
        <v>0</v>
      </c>
      <c r="F42" s="143">
        <f t="shared" si="6"/>
        <v>29.749999999999993</v>
      </c>
      <c r="G42" s="144">
        <f t="shared" si="6"/>
        <v>361189.15</v>
      </c>
      <c r="H42" s="143">
        <f t="shared" si="6"/>
        <v>0</v>
      </c>
      <c r="I42" s="143">
        <f t="shared" si="6"/>
        <v>0</v>
      </c>
      <c r="J42" s="116">
        <f t="shared" si="0"/>
        <v>361189.15</v>
      </c>
      <c r="K42" s="145"/>
    </row>
    <row r="43" spans="1:11" ht="14.95" customHeight="1" x14ac:dyDescent="0.25">
      <c r="A43" s="25" t="s">
        <v>25</v>
      </c>
      <c r="B43" s="29"/>
      <c r="C43" s="8"/>
      <c r="D43" s="8"/>
      <c r="E43" s="8"/>
      <c r="F43" s="8"/>
      <c r="G43" s="127"/>
      <c r="H43" s="8"/>
      <c r="I43" s="8"/>
      <c r="J43" s="63"/>
    </row>
    <row r="44" spans="1:11" ht="14.95" customHeight="1" x14ac:dyDescent="0.25">
      <c r="A44" s="30" t="s">
        <v>27</v>
      </c>
      <c r="B44" s="31"/>
      <c r="C44" s="8">
        <v>700</v>
      </c>
      <c r="D44" s="10">
        <v>0</v>
      </c>
      <c r="E44" s="10">
        <v>0</v>
      </c>
      <c r="F44" s="10">
        <f>26.45+44.57+18.63</f>
        <v>89.649999999999991</v>
      </c>
      <c r="G44" s="127">
        <f t="shared" si="1"/>
        <v>789.65</v>
      </c>
      <c r="H44" s="8">
        <v>0</v>
      </c>
      <c r="I44" s="8">
        <v>0</v>
      </c>
      <c r="J44" s="63">
        <f t="shared" si="0"/>
        <v>789.65</v>
      </c>
    </row>
    <row r="45" spans="1:11" ht="14.95" customHeight="1" x14ac:dyDescent="0.25">
      <c r="A45" s="30" t="s">
        <v>28</v>
      </c>
      <c r="B45" s="31"/>
      <c r="C45" s="8">
        <v>14142</v>
      </c>
      <c r="D45" s="10">
        <v>0</v>
      </c>
      <c r="E45" s="10">
        <v>0</v>
      </c>
      <c r="F45" s="10">
        <v>0</v>
      </c>
      <c r="G45" s="127">
        <f t="shared" si="1"/>
        <v>14142</v>
      </c>
      <c r="H45" s="8">
        <v>0</v>
      </c>
      <c r="I45" s="8">
        <v>0</v>
      </c>
      <c r="J45" s="63">
        <f t="shared" si="0"/>
        <v>14142</v>
      </c>
    </row>
    <row r="46" spans="1:11" ht="14.95" customHeight="1" x14ac:dyDescent="0.25">
      <c r="A46" s="30" t="s">
        <v>29</v>
      </c>
      <c r="B46" s="31"/>
      <c r="C46" s="10">
        <v>346368</v>
      </c>
      <c r="D46" s="10">
        <v>0</v>
      </c>
      <c r="E46" s="10">
        <v>0</v>
      </c>
      <c r="F46" s="10">
        <f>-59.9</f>
        <v>-59.9</v>
      </c>
      <c r="G46" s="138">
        <f>SUM(C46:F46)-50.6</f>
        <v>346257.5</v>
      </c>
      <c r="H46" s="10">
        <v>0</v>
      </c>
      <c r="I46" s="10">
        <v>0</v>
      </c>
      <c r="J46" s="68">
        <f t="shared" si="0"/>
        <v>346257.5</v>
      </c>
    </row>
    <row r="47" spans="1:11" ht="15.65" customHeight="1" thickBot="1" x14ac:dyDescent="0.3">
      <c r="A47" s="157" t="s">
        <v>30</v>
      </c>
      <c r="B47" s="153"/>
      <c r="C47" s="154">
        <f t="shared" ref="C47:I47" si="7">SUM(C49:C54)</f>
        <v>52366</v>
      </c>
      <c r="D47" s="154">
        <f t="shared" si="7"/>
        <v>483.3</v>
      </c>
      <c r="E47" s="154">
        <f t="shared" si="7"/>
        <v>19763.5</v>
      </c>
      <c r="F47" s="154">
        <f t="shared" si="7"/>
        <v>0</v>
      </c>
      <c r="G47" s="155">
        <f t="shared" si="7"/>
        <v>72612.800000000003</v>
      </c>
      <c r="H47" s="154">
        <f t="shared" si="7"/>
        <v>6086.35</v>
      </c>
      <c r="I47" s="154">
        <f t="shared" si="7"/>
        <v>0</v>
      </c>
      <c r="J47" s="156">
        <f t="shared" si="0"/>
        <v>78699.150000000009</v>
      </c>
      <c r="K47" s="145"/>
    </row>
    <row r="48" spans="1:11" ht="14.95" customHeight="1" x14ac:dyDescent="0.25">
      <c r="A48" s="25" t="s">
        <v>25</v>
      </c>
      <c r="B48" s="29"/>
      <c r="C48" s="8"/>
      <c r="D48" s="8"/>
      <c r="E48" s="8"/>
      <c r="F48" s="8"/>
      <c r="G48" s="127"/>
      <c r="H48" s="8"/>
      <c r="I48" s="8"/>
      <c r="J48" s="63"/>
    </row>
    <row r="49" spans="1:11" ht="14.95" customHeight="1" x14ac:dyDescent="0.25">
      <c r="A49" s="19" t="s">
        <v>31</v>
      </c>
      <c r="B49" s="33" t="s">
        <v>362</v>
      </c>
      <c r="C49" s="8">
        <v>0</v>
      </c>
      <c r="D49" s="10">
        <f>25</f>
        <v>25</v>
      </c>
      <c r="E49" s="10">
        <v>0</v>
      </c>
      <c r="F49" s="10">
        <v>0</v>
      </c>
      <c r="G49" s="127">
        <f t="shared" si="1"/>
        <v>25</v>
      </c>
      <c r="H49" s="8">
        <v>0</v>
      </c>
      <c r="I49" s="8">
        <v>0</v>
      </c>
      <c r="J49" s="63">
        <f t="shared" si="0"/>
        <v>25</v>
      </c>
    </row>
    <row r="50" spans="1:11" ht="14.95" customHeight="1" x14ac:dyDescent="0.25">
      <c r="A50" s="30" t="s">
        <v>371</v>
      </c>
      <c r="B50" s="35" t="s">
        <v>363</v>
      </c>
      <c r="C50" s="8">
        <v>16000</v>
      </c>
      <c r="D50" s="10">
        <v>0</v>
      </c>
      <c r="E50" s="10">
        <v>0</v>
      </c>
      <c r="F50" s="10">
        <v>0</v>
      </c>
      <c r="G50" s="127">
        <f t="shared" si="1"/>
        <v>16000</v>
      </c>
      <c r="H50" s="8">
        <v>4000</v>
      </c>
      <c r="I50" s="8">
        <v>0</v>
      </c>
      <c r="J50" s="63">
        <f t="shared" si="0"/>
        <v>20000</v>
      </c>
    </row>
    <row r="51" spans="1:11" ht="14.95" customHeight="1" x14ac:dyDescent="0.25">
      <c r="A51" s="30" t="s">
        <v>33</v>
      </c>
      <c r="B51" s="31"/>
      <c r="C51" s="8">
        <v>5000</v>
      </c>
      <c r="D51" s="10">
        <v>0</v>
      </c>
      <c r="E51" s="10">
        <v>0</v>
      </c>
      <c r="F51" s="10">
        <v>0</v>
      </c>
      <c r="G51" s="127">
        <f t="shared" si="1"/>
        <v>5000</v>
      </c>
      <c r="H51" s="8">
        <v>2086.35</v>
      </c>
      <c r="I51" s="10">
        <v>0</v>
      </c>
      <c r="J51" s="63">
        <f t="shared" si="0"/>
        <v>7086.35</v>
      </c>
    </row>
    <row r="52" spans="1:11" ht="14.95" customHeight="1" x14ac:dyDescent="0.25">
      <c r="A52" s="30" t="s">
        <v>34</v>
      </c>
      <c r="B52" s="31"/>
      <c r="C52" s="8">
        <v>200</v>
      </c>
      <c r="D52" s="10">
        <v>0</v>
      </c>
      <c r="E52" s="10">
        <v>0</v>
      </c>
      <c r="F52" s="10">
        <v>0</v>
      </c>
      <c r="G52" s="127">
        <f t="shared" si="1"/>
        <v>200</v>
      </c>
      <c r="H52" s="8">
        <v>0</v>
      </c>
      <c r="I52" s="8">
        <v>0</v>
      </c>
      <c r="J52" s="63">
        <f t="shared" si="0"/>
        <v>200</v>
      </c>
    </row>
    <row r="53" spans="1:11" ht="14.95" customHeight="1" x14ac:dyDescent="0.25">
      <c r="A53" s="30" t="s">
        <v>35</v>
      </c>
      <c r="B53" s="31"/>
      <c r="C53" s="8">
        <v>1000</v>
      </c>
      <c r="D53" s="10">
        <v>0</v>
      </c>
      <c r="E53" s="10">
        <v>0</v>
      </c>
      <c r="F53" s="10">
        <v>0</v>
      </c>
      <c r="G53" s="127">
        <f t="shared" si="1"/>
        <v>1000</v>
      </c>
      <c r="H53" s="8">
        <v>0</v>
      </c>
      <c r="I53" s="8">
        <v>0</v>
      </c>
      <c r="J53" s="63">
        <f t="shared" si="0"/>
        <v>1000</v>
      </c>
    </row>
    <row r="54" spans="1:11" ht="14.95" customHeight="1" thickBot="1" x14ac:dyDescent="0.3">
      <c r="A54" s="26" t="s">
        <v>36</v>
      </c>
      <c r="B54" s="27"/>
      <c r="C54" s="15">
        <v>30166</v>
      </c>
      <c r="D54" s="12">
        <f>458.3</f>
        <v>458.3</v>
      </c>
      <c r="E54" s="12">
        <v>19763.5</v>
      </c>
      <c r="F54" s="12">
        <v>0</v>
      </c>
      <c r="G54" s="161">
        <f t="shared" si="1"/>
        <v>50387.8</v>
      </c>
      <c r="H54" s="15">
        <v>0</v>
      </c>
      <c r="I54" s="15">
        <v>0</v>
      </c>
      <c r="J54" s="78">
        <f t="shared" si="0"/>
        <v>50387.8</v>
      </c>
    </row>
    <row r="55" spans="1:11" ht="15.65" customHeight="1" thickBot="1" x14ac:dyDescent="0.3">
      <c r="A55" s="23" t="s">
        <v>37</v>
      </c>
      <c r="B55" s="28"/>
      <c r="C55" s="24">
        <f t="shared" ref="C55:I55" si="8">SUM(C57:C58)</f>
        <v>148159.5</v>
      </c>
      <c r="D55" s="24">
        <f t="shared" si="8"/>
        <v>-5092.71</v>
      </c>
      <c r="E55" s="24">
        <f t="shared" si="8"/>
        <v>16468.73</v>
      </c>
      <c r="F55" s="24">
        <f t="shared" si="8"/>
        <v>-2620.85</v>
      </c>
      <c r="G55" s="139">
        <f t="shared" si="8"/>
        <v>155922.18</v>
      </c>
      <c r="H55" s="24">
        <f t="shared" si="8"/>
        <v>437.15999999999985</v>
      </c>
      <c r="I55" s="24">
        <f t="shared" si="8"/>
        <v>0</v>
      </c>
      <c r="J55" s="116">
        <f t="shared" si="0"/>
        <v>156359.34</v>
      </c>
      <c r="K55" s="145"/>
    </row>
    <row r="56" spans="1:11" ht="14.95" customHeight="1" x14ac:dyDescent="0.25">
      <c r="A56" s="25" t="s">
        <v>25</v>
      </c>
      <c r="B56" s="29"/>
      <c r="C56" s="8"/>
      <c r="D56" s="8"/>
      <c r="E56" s="8"/>
      <c r="F56" s="8"/>
      <c r="G56" s="127"/>
      <c r="H56" s="8"/>
      <c r="I56" s="8"/>
      <c r="J56" s="63"/>
    </row>
    <row r="57" spans="1:11" ht="14.95" customHeight="1" x14ac:dyDescent="0.25">
      <c r="A57" s="30" t="s">
        <v>27</v>
      </c>
      <c r="B57" s="31"/>
      <c r="C57" s="8">
        <v>57641</v>
      </c>
      <c r="D57" s="10">
        <f>-4985-1126.39+167.01+1105.13</f>
        <v>-4839.25</v>
      </c>
      <c r="E57" s="10">
        <v>15448.15</v>
      </c>
      <c r="F57" s="10">
        <f>-1132.37-1069.48-71-348</f>
        <v>-2620.85</v>
      </c>
      <c r="G57" s="127">
        <f>SUM(C57:F57)-962.49</f>
        <v>64666.55999999999</v>
      </c>
      <c r="H57" s="8">
        <v>3957</v>
      </c>
      <c r="I57" s="8">
        <v>0</v>
      </c>
      <c r="J57" s="63">
        <f t="shared" si="0"/>
        <v>68623.56</v>
      </c>
    </row>
    <row r="58" spans="1:11" ht="14.95" customHeight="1" thickBot="1" x14ac:dyDescent="0.3">
      <c r="A58" s="26" t="s">
        <v>38</v>
      </c>
      <c r="B58" s="27"/>
      <c r="C58" s="12">
        <v>90518.5</v>
      </c>
      <c r="D58" s="12">
        <f>-128-125.46</f>
        <v>-253.45999999999998</v>
      </c>
      <c r="E58" s="12">
        <v>1020.58</v>
      </c>
      <c r="F58" s="12">
        <v>0</v>
      </c>
      <c r="G58" s="140">
        <f>SUM(C58:F58)-30</f>
        <v>91255.62</v>
      </c>
      <c r="H58" s="12">
        <v>-3519.84</v>
      </c>
      <c r="I58" s="15">
        <v>0</v>
      </c>
      <c r="J58" s="78">
        <f t="shared" si="0"/>
        <v>87735.78</v>
      </c>
    </row>
    <row r="59" spans="1:11" ht="15.65" customHeight="1" thickBot="1" x14ac:dyDescent="0.3">
      <c r="A59" s="23" t="s">
        <v>39</v>
      </c>
      <c r="B59" s="32"/>
      <c r="C59" s="24">
        <f t="shared" ref="C59:I59" si="9">SUM(C61:C63)</f>
        <v>1607.9</v>
      </c>
      <c r="D59" s="24">
        <f t="shared" si="9"/>
        <v>0</v>
      </c>
      <c r="E59" s="24">
        <f t="shared" si="9"/>
        <v>0</v>
      </c>
      <c r="F59" s="24">
        <f t="shared" si="9"/>
        <v>0</v>
      </c>
      <c r="G59" s="139">
        <f t="shared" si="9"/>
        <v>1607.9</v>
      </c>
      <c r="H59" s="24">
        <f t="shared" si="9"/>
        <v>0</v>
      </c>
      <c r="I59" s="24">
        <f t="shared" si="9"/>
        <v>0</v>
      </c>
      <c r="J59" s="116">
        <f t="shared" si="0"/>
        <v>1607.9</v>
      </c>
      <c r="K59" s="145"/>
    </row>
    <row r="60" spans="1:11" ht="14.95" customHeight="1" x14ac:dyDescent="0.25">
      <c r="A60" s="34" t="s">
        <v>25</v>
      </c>
      <c r="B60" s="29"/>
      <c r="C60" s="8"/>
      <c r="D60" s="8"/>
      <c r="E60" s="8"/>
      <c r="F60" s="8"/>
      <c r="G60" s="127"/>
      <c r="H60" s="8"/>
      <c r="I60" s="8"/>
      <c r="J60" s="63"/>
    </row>
    <row r="61" spans="1:11" ht="14.95" customHeight="1" x14ac:dyDescent="0.25">
      <c r="A61" s="9" t="s">
        <v>40</v>
      </c>
      <c r="B61" s="35" t="s">
        <v>255</v>
      </c>
      <c r="C61" s="8">
        <v>20</v>
      </c>
      <c r="D61" s="10">
        <v>0</v>
      </c>
      <c r="E61" s="10">
        <v>0</v>
      </c>
      <c r="F61" s="10">
        <v>0</v>
      </c>
      <c r="G61" s="127">
        <f t="shared" si="1"/>
        <v>20</v>
      </c>
      <c r="H61" s="8">
        <v>0</v>
      </c>
      <c r="I61" s="8">
        <v>0</v>
      </c>
      <c r="J61" s="63">
        <f t="shared" si="0"/>
        <v>20</v>
      </c>
    </row>
    <row r="62" spans="1:11" ht="14.95" customHeight="1" x14ac:dyDescent="0.25">
      <c r="A62" s="36" t="s">
        <v>27</v>
      </c>
      <c r="B62" s="31"/>
      <c r="C62" s="8">
        <v>64.2</v>
      </c>
      <c r="D62" s="10">
        <v>0</v>
      </c>
      <c r="E62" s="10">
        <v>0</v>
      </c>
      <c r="F62" s="10">
        <v>0</v>
      </c>
      <c r="G62" s="127">
        <f t="shared" si="1"/>
        <v>64.2</v>
      </c>
      <c r="H62" s="8">
        <v>0</v>
      </c>
      <c r="I62" s="8">
        <v>0</v>
      </c>
      <c r="J62" s="63">
        <f t="shared" si="0"/>
        <v>64.2</v>
      </c>
    </row>
    <row r="63" spans="1:11" ht="14.95" customHeight="1" thickBot="1" x14ac:dyDescent="0.3">
      <c r="A63" s="37" t="s">
        <v>41</v>
      </c>
      <c r="B63" s="27"/>
      <c r="C63" s="12">
        <v>1523.7</v>
      </c>
      <c r="D63" s="12">
        <v>0</v>
      </c>
      <c r="E63" s="12">
        <v>0</v>
      </c>
      <c r="F63" s="12">
        <v>0</v>
      </c>
      <c r="G63" s="161">
        <f t="shared" si="1"/>
        <v>1523.7</v>
      </c>
      <c r="H63" s="15">
        <v>0</v>
      </c>
      <c r="I63" s="15">
        <v>0</v>
      </c>
      <c r="J63" s="78">
        <f t="shared" si="0"/>
        <v>1523.7</v>
      </c>
    </row>
    <row r="64" spans="1:11" ht="15.8" customHeight="1" thickBot="1" x14ac:dyDescent="0.3">
      <c r="A64" s="38" t="s">
        <v>42</v>
      </c>
      <c r="B64" s="103"/>
      <c r="C64" s="24">
        <f t="shared" ref="C64:I64" si="10">SUM(C66:C181)</f>
        <v>280121.5</v>
      </c>
      <c r="D64" s="24">
        <f t="shared" si="10"/>
        <v>3730.9900000000002</v>
      </c>
      <c r="E64" s="24">
        <f t="shared" si="10"/>
        <v>5712.7500000000009</v>
      </c>
      <c r="F64" s="24">
        <f t="shared" si="10"/>
        <v>15947.960000000001</v>
      </c>
      <c r="G64" s="139">
        <f t="shared" si="10"/>
        <v>305610.84999999998</v>
      </c>
      <c r="H64" s="24">
        <f t="shared" si="10"/>
        <v>1830</v>
      </c>
      <c r="I64" s="24">
        <f t="shared" si="10"/>
        <v>0</v>
      </c>
      <c r="J64" s="116">
        <f t="shared" si="0"/>
        <v>307440.84999999998</v>
      </c>
      <c r="K64" s="145"/>
    </row>
    <row r="65" spans="1:10" ht="14.95" customHeight="1" x14ac:dyDescent="0.25">
      <c r="A65" s="39" t="s">
        <v>25</v>
      </c>
      <c r="B65" s="29"/>
      <c r="C65" s="117"/>
      <c r="D65" s="8"/>
      <c r="E65" s="8"/>
      <c r="F65" s="8"/>
      <c r="G65" s="127"/>
      <c r="H65" s="8"/>
      <c r="I65" s="8"/>
      <c r="J65" s="63"/>
    </row>
    <row r="66" spans="1:10" ht="14.95" customHeight="1" x14ac:dyDescent="0.25">
      <c r="A66" s="36" t="s">
        <v>27</v>
      </c>
      <c r="B66" s="35"/>
      <c r="C66" s="8">
        <v>4050</v>
      </c>
      <c r="D66" s="10">
        <f>-120</f>
        <v>-120</v>
      </c>
      <c r="E66" s="10">
        <v>1500</v>
      </c>
      <c r="F66" s="10">
        <f>-70-150+800</f>
        <v>580</v>
      </c>
      <c r="G66" s="127">
        <f>SUM(C66:F66)+200</f>
        <v>6210</v>
      </c>
      <c r="H66" s="8">
        <v>0</v>
      </c>
      <c r="I66" s="8">
        <v>0</v>
      </c>
      <c r="J66" s="63">
        <f t="shared" si="0"/>
        <v>6210</v>
      </c>
    </row>
    <row r="67" spans="1:10" ht="14.95" customHeight="1" x14ac:dyDescent="0.25">
      <c r="A67" s="9" t="s">
        <v>43</v>
      </c>
      <c r="B67" s="35" t="s">
        <v>44</v>
      </c>
      <c r="C67" s="8">
        <v>7000</v>
      </c>
      <c r="D67" s="10">
        <v>0</v>
      </c>
      <c r="E67" s="10">
        <v>0</v>
      </c>
      <c r="F67" s="10">
        <v>0</v>
      </c>
      <c r="G67" s="127">
        <f t="shared" si="1"/>
        <v>7000</v>
      </c>
      <c r="H67" s="8">
        <v>0</v>
      </c>
      <c r="I67" s="8">
        <v>0</v>
      </c>
      <c r="J67" s="63">
        <f t="shared" si="0"/>
        <v>7000</v>
      </c>
    </row>
    <row r="68" spans="1:10" ht="25.15" customHeight="1" x14ac:dyDescent="0.25">
      <c r="A68" s="9" t="s">
        <v>229</v>
      </c>
      <c r="B68" s="35" t="s">
        <v>45</v>
      </c>
      <c r="C68" s="8">
        <v>50000</v>
      </c>
      <c r="D68" s="61">
        <v>0</v>
      </c>
      <c r="E68" s="61">
        <v>0</v>
      </c>
      <c r="F68" s="61">
        <v>0</v>
      </c>
      <c r="G68" s="127">
        <f t="shared" si="1"/>
        <v>50000</v>
      </c>
      <c r="H68" s="8">
        <v>0</v>
      </c>
      <c r="I68" s="8">
        <v>0</v>
      </c>
      <c r="J68" s="63">
        <f t="shared" si="0"/>
        <v>50000</v>
      </c>
    </row>
    <row r="69" spans="1:10" ht="21.75" customHeight="1" x14ac:dyDescent="0.25">
      <c r="A69" s="9" t="s">
        <v>230</v>
      </c>
      <c r="B69" s="35" t="s">
        <v>46</v>
      </c>
      <c r="C69" s="8">
        <v>900</v>
      </c>
      <c r="D69" s="10">
        <v>0</v>
      </c>
      <c r="E69" s="10">
        <v>0</v>
      </c>
      <c r="F69" s="10">
        <v>0</v>
      </c>
      <c r="G69" s="127">
        <f t="shared" si="1"/>
        <v>900</v>
      </c>
      <c r="H69" s="8">
        <v>0</v>
      </c>
      <c r="I69" s="8">
        <v>0</v>
      </c>
      <c r="J69" s="63">
        <f t="shared" si="0"/>
        <v>900</v>
      </c>
    </row>
    <row r="70" spans="1:10" ht="26.5" customHeight="1" x14ac:dyDescent="0.25">
      <c r="A70" s="9" t="s">
        <v>301</v>
      </c>
      <c r="B70" s="35" t="s">
        <v>247</v>
      </c>
      <c r="C70" s="8">
        <v>0</v>
      </c>
      <c r="D70" s="10">
        <f>120</f>
        <v>120</v>
      </c>
      <c r="E70" s="10">
        <v>0</v>
      </c>
      <c r="F70" s="10">
        <v>0</v>
      </c>
      <c r="G70" s="127">
        <f t="shared" si="1"/>
        <v>120</v>
      </c>
      <c r="H70" s="8">
        <v>0</v>
      </c>
      <c r="I70" s="8">
        <v>0</v>
      </c>
      <c r="J70" s="63">
        <f t="shared" ref="J70:J133" si="11">SUM(G70:I70)</f>
        <v>120</v>
      </c>
    </row>
    <row r="71" spans="1:10" ht="14.95" customHeight="1" x14ac:dyDescent="0.25">
      <c r="A71" s="36" t="s">
        <v>47</v>
      </c>
      <c r="B71" s="35" t="s">
        <v>228</v>
      </c>
      <c r="C71" s="8">
        <v>3592</v>
      </c>
      <c r="D71" s="10">
        <v>0</v>
      </c>
      <c r="E71" s="10">
        <v>70</v>
      </c>
      <c r="F71" s="10">
        <v>0</v>
      </c>
      <c r="G71" s="127">
        <f t="shared" si="1"/>
        <v>3662</v>
      </c>
      <c r="H71" s="8">
        <v>140</v>
      </c>
      <c r="I71" s="8">
        <v>0</v>
      </c>
      <c r="J71" s="63">
        <f t="shared" si="11"/>
        <v>3802</v>
      </c>
    </row>
    <row r="72" spans="1:10" ht="14.95" customHeight="1" x14ac:dyDescent="0.25">
      <c r="A72" s="36" t="s">
        <v>352</v>
      </c>
      <c r="B72" s="35" t="s">
        <v>325</v>
      </c>
      <c r="C72" s="8">
        <v>0</v>
      </c>
      <c r="D72" s="10">
        <v>0</v>
      </c>
      <c r="E72" s="10">
        <v>0</v>
      </c>
      <c r="F72" s="10">
        <f>86.63</f>
        <v>86.63</v>
      </c>
      <c r="G72" s="127">
        <f>SUM(C72:F72)</f>
        <v>86.63</v>
      </c>
      <c r="H72" s="8">
        <v>0</v>
      </c>
      <c r="I72" s="8">
        <v>0</v>
      </c>
      <c r="J72" s="63">
        <f t="shared" si="11"/>
        <v>86.63</v>
      </c>
    </row>
    <row r="73" spans="1:10" ht="14.95" customHeight="1" x14ac:dyDescent="0.25">
      <c r="A73" s="36" t="s">
        <v>353</v>
      </c>
      <c r="B73" s="35" t="s">
        <v>325</v>
      </c>
      <c r="C73" s="8">
        <v>0</v>
      </c>
      <c r="D73" s="10">
        <v>0</v>
      </c>
      <c r="E73" s="10">
        <v>0</v>
      </c>
      <c r="F73" s="10">
        <f>9.63</f>
        <v>9.6300000000000008</v>
      </c>
      <c r="G73" s="127">
        <f>SUM(C73:F73)</f>
        <v>9.6300000000000008</v>
      </c>
      <c r="H73" s="8">
        <v>0</v>
      </c>
      <c r="I73" s="8">
        <v>0</v>
      </c>
      <c r="J73" s="63">
        <f t="shared" si="11"/>
        <v>9.6300000000000008</v>
      </c>
    </row>
    <row r="74" spans="1:10" ht="14.95" customHeight="1" x14ac:dyDescent="0.25">
      <c r="A74" s="36" t="s">
        <v>312</v>
      </c>
      <c r="B74" s="35" t="s">
        <v>313</v>
      </c>
      <c r="C74" s="8">
        <v>0</v>
      </c>
      <c r="D74" s="10">
        <v>0</v>
      </c>
      <c r="E74" s="10">
        <v>0</v>
      </c>
      <c r="F74" s="10">
        <f>556.17</f>
        <v>556.16999999999996</v>
      </c>
      <c r="G74" s="127">
        <f>SUM(C74:F74)</f>
        <v>556.16999999999996</v>
      </c>
      <c r="H74" s="8">
        <v>0</v>
      </c>
      <c r="I74" s="8">
        <v>0</v>
      </c>
      <c r="J74" s="63">
        <f t="shared" si="11"/>
        <v>556.16999999999996</v>
      </c>
    </row>
    <row r="75" spans="1:10" ht="14.95" customHeight="1" x14ac:dyDescent="0.25">
      <c r="A75" s="36" t="s">
        <v>48</v>
      </c>
      <c r="B75" s="35" t="s">
        <v>228</v>
      </c>
      <c r="C75" s="8">
        <v>4559</v>
      </c>
      <c r="D75" s="10">
        <v>0</v>
      </c>
      <c r="E75" s="10">
        <v>287</v>
      </c>
      <c r="F75" s="10">
        <v>0</v>
      </c>
      <c r="G75" s="127">
        <f t="shared" si="1"/>
        <v>4846</v>
      </c>
      <c r="H75" s="8">
        <v>126</v>
      </c>
      <c r="I75" s="8">
        <v>0</v>
      </c>
      <c r="J75" s="63">
        <f t="shared" si="11"/>
        <v>4972</v>
      </c>
    </row>
    <row r="76" spans="1:10" ht="14.95" customHeight="1" x14ac:dyDescent="0.25">
      <c r="A76" s="36" t="s">
        <v>346</v>
      </c>
      <c r="B76" s="35" t="s">
        <v>325</v>
      </c>
      <c r="C76" s="8">
        <v>0</v>
      </c>
      <c r="D76" s="10">
        <v>0</v>
      </c>
      <c r="E76" s="10">
        <v>0</v>
      </c>
      <c r="F76" s="10">
        <f>86.63</f>
        <v>86.63</v>
      </c>
      <c r="G76" s="127">
        <f>SUM(C76:F76)</f>
        <v>86.63</v>
      </c>
      <c r="H76" s="8">
        <v>0</v>
      </c>
      <c r="I76" s="8">
        <v>0</v>
      </c>
      <c r="J76" s="63">
        <f t="shared" si="11"/>
        <v>86.63</v>
      </c>
    </row>
    <row r="77" spans="1:10" ht="14.95" customHeight="1" x14ac:dyDescent="0.25">
      <c r="A77" s="36" t="s">
        <v>347</v>
      </c>
      <c r="B77" s="35" t="s">
        <v>325</v>
      </c>
      <c r="C77" s="8">
        <v>0</v>
      </c>
      <c r="D77" s="10">
        <v>0</v>
      </c>
      <c r="E77" s="10">
        <v>0</v>
      </c>
      <c r="F77" s="10">
        <f>9.63</f>
        <v>9.6300000000000008</v>
      </c>
      <c r="G77" s="127">
        <f>SUM(C77:F77)</f>
        <v>9.6300000000000008</v>
      </c>
      <c r="H77" s="8">
        <v>0</v>
      </c>
      <c r="I77" s="8">
        <v>0</v>
      </c>
      <c r="J77" s="63">
        <f t="shared" si="11"/>
        <v>9.6300000000000008</v>
      </c>
    </row>
    <row r="78" spans="1:10" ht="14.95" customHeight="1" x14ac:dyDescent="0.25">
      <c r="A78" s="36" t="s">
        <v>303</v>
      </c>
      <c r="B78" s="35" t="s">
        <v>304</v>
      </c>
      <c r="C78" s="8">
        <v>0</v>
      </c>
      <c r="D78" s="10">
        <f>755.89</f>
        <v>755.89</v>
      </c>
      <c r="E78" s="10">
        <v>0</v>
      </c>
      <c r="F78" s="10">
        <v>0</v>
      </c>
      <c r="G78" s="127">
        <f t="shared" si="1"/>
        <v>755.89</v>
      </c>
      <c r="H78" s="8">
        <v>0</v>
      </c>
      <c r="I78" s="8">
        <v>0</v>
      </c>
      <c r="J78" s="63">
        <f t="shared" si="11"/>
        <v>755.89</v>
      </c>
    </row>
    <row r="79" spans="1:10" ht="14.95" customHeight="1" x14ac:dyDescent="0.25">
      <c r="A79" s="9" t="s">
        <v>49</v>
      </c>
      <c r="B79" s="35" t="s">
        <v>228</v>
      </c>
      <c r="C79" s="8">
        <v>1725</v>
      </c>
      <c r="D79" s="10">
        <v>0</v>
      </c>
      <c r="E79" s="10">
        <v>40</v>
      </c>
      <c r="F79" s="10">
        <v>0</v>
      </c>
      <c r="G79" s="127">
        <f t="shared" si="1"/>
        <v>1765</v>
      </c>
      <c r="H79" s="8">
        <v>0</v>
      </c>
      <c r="I79" s="8">
        <v>0</v>
      </c>
      <c r="J79" s="63">
        <f t="shared" si="11"/>
        <v>1765</v>
      </c>
    </row>
    <row r="80" spans="1:10" ht="14.95" customHeight="1" x14ac:dyDescent="0.25">
      <c r="A80" s="9" t="s">
        <v>348</v>
      </c>
      <c r="B80" s="35" t="s">
        <v>325</v>
      </c>
      <c r="C80" s="8">
        <v>0</v>
      </c>
      <c r="D80" s="10">
        <v>0</v>
      </c>
      <c r="E80" s="10">
        <v>0</v>
      </c>
      <c r="F80" s="10">
        <f>11.56</f>
        <v>11.56</v>
      </c>
      <c r="G80" s="127">
        <f>SUM(C80:F80)</f>
        <v>11.56</v>
      </c>
      <c r="H80" s="8">
        <v>0</v>
      </c>
      <c r="I80" s="8">
        <v>0</v>
      </c>
      <c r="J80" s="63">
        <f t="shared" si="11"/>
        <v>11.56</v>
      </c>
    </row>
    <row r="81" spans="1:10" ht="14.95" customHeight="1" x14ac:dyDescent="0.25">
      <c r="A81" s="9" t="s">
        <v>351</v>
      </c>
      <c r="B81" s="35" t="s">
        <v>325</v>
      </c>
      <c r="C81" s="8">
        <v>0</v>
      </c>
      <c r="D81" s="10">
        <v>0</v>
      </c>
      <c r="E81" s="10">
        <v>0</v>
      </c>
      <c r="F81" s="10">
        <f>1.29</f>
        <v>1.29</v>
      </c>
      <c r="G81" s="127">
        <f>SUM(C81:F81)</f>
        <v>1.29</v>
      </c>
      <c r="H81" s="8">
        <v>0</v>
      </c>
      <c r="I81" s="8">
        <v>0</v>
      </c>
      <c r="J81" s="63">
        <f t="shared" si="11"/>
        <v>1.29</v>
      </c>
    </row>
    <row r="82" spans="1:10" ht="14.95" customHeight="1" x14ac:dyDescent="0.25">
      <c r="A82" s="9" t="s">
        <v>50</v>
      </c>
      <c r="B82" s="35" t="s">
        <v>228</v>
      </c>
      <c r="C82" s="8">
        <v>4913</v>
      </c>
      <c r="D82" s="10">
        <v>0</v>
      </c>
      <c r="E82" s="10">
        <v>155</v>
      </c>
      <c r="F82" s="10">
        <v>0</v>
      </c>
      <c r="G82" s="127">
        <f t="shared" si="1"/>
        <v>5068</v>
      </c>
      <c r="H82" s="8">
        <v>0</v>
      </c>
      <c r="I82" s="8">
        <v>0</v>
      </c>
      <c r="J82" s="63">
        <f t="shared" si="11"/>
        <v>5068</v>
      </c>
    </row>
    <row r="83" spans="1:10" ht="14.95" customHeight="1" x14ac:dyDescent="0.25">
      <c r="A83" s="9" t="s">
        <v>321</v>
      </c>
      <c r="B83" s="35" t="s">
        <v>322</v>
      </c>
      <c r="C83" s="8">
        <v>0</v>
      </c>
      <c r="D83" s="10">
        <v>0</v>
      </c>
      <c r="E83" s="10">
        <v>0</v>
      </c>
      <c r="F83" s="10">
        <f>172.98</f>
        <v>172.98</v>
      </c>
      <c r="G83" s="127">
        <f>SUM(C83:F83)</f>
        <v>172.98</v>
      </c>
      <c r="H83" s="8">
        <v>0</v>
      </c>
      <c r="I83" s="8">
        <v>0</v>
      </c>
      <c r="J83" s="63">
        <f t="shared" si="11"/>
        <v>172.98</v>
      </c>
    </row>
    <row r="84" spans="1:10" ht="14.95" customHeight="1" x14ac:dyDescent="0.25">
      <c r="A84" s="9" t="s">
        <v>323</v>
      </c>
      <c r="B84" s="35" t="s">
        <v>322</v>
      </c>
      <c r="C84" s="8">
        <v>0</v>
      </c>
      <c r="D84" s="10">
        <v>0</v>
      </c>
      <c r="E84" s="10">
        <v>0</v>
      </c>
      <c r="F84" s="10">
        <f>19.22</f>
        <v>19.22</v>
      </c>
      <c r="G84" s="127">
        <f>SUM(C84:F84)</f>
        <v>19.22</v>
      </c>
      <c r="H84" s="8">
        <v>0</v>
      </c>
      <c r="I84" s="8">
        <v>0</v>
      </c>
      <c r="J84" s="63">
        <f t="shared" si="11"/>
        <v>19.22</v>
      </c>
    </row>
    <row r="85" spans="1:10" ht="14.95" customHeight="1" x14ac:dyDescent="0.25">
      <c r="A85" s="9" t="s">
        <v>318</v>
      </c>
      <c r="B85" s="35" t="s">
        <v>319</v>
      </c>
      <c r="C85" s="8">
        <v>0</v>
      </c>
      <c r="D85" s="10">
        <v>0</v>
      </c>
      <c r="E85" s="10">
        <v>0</v>
      </c>
      <c r="F85" s="10">
        <f>601.76</f>
        <v>601.76</v>
      </c>
      <c r="G85" s="127">
        <f>SUM(C85:F85)</f>
        <v>601.76</v>
      </c>
      <c r="H85" s="8">
        <v>0</v>
      </c>
      <c r="I85" s="8">
        <v>0</v>
      </c>
      <c r="J85" s="63">
        <f t="shared" si="11"/>
        <v>601.76</v>
      </c>
    </row>
    <row r="86" spans="1:10" ht="14.95" customHeight="1" x14ac:dyDescent="0.25">
      <c r="A86" s="36" t="s">
        <v>51</v>
      </c>
      <c r="B86" s="35" t="s">
        <v>228</v>
      </c>
      <c r="C86" s="8">
        <v>4028</v>
      </c>
      <c r="D86" s="10">
        <v>0</v>
      </c>
      <c r="E86" s="10">
        <v>115</v>
      </c>
      <c r="F86" s="10">
        <v>0</v>
      </c>
      <c r="G86" s="127">
        <f t="shared" si="1"/>
        <v>4143</v>
      </c>
      <c r="H86" s="8">
        <v>0</v>
      </c>
      <c r="I86" s="8">
        <v>0</v>
      </c>
      <c r="J86" s="63">
        <f t="shared" si="11"/>
        <v>4143</v>
      </c>
    </row>
    <row r="87" spans="1:10" ht="14.95" customHeight="1" x14ac:dyDescent="0.25">
      <c r="A87" s="36" t="s">
        <v>331</v>
      </c>
      <c r="B87" s="35" t="s">
        <v>325</v>
      </c>
      <c r="C87" s="8">
        <v>0</v>
      </c>
      <c r="D87" s="10">
        <v>0</v>
      </c>
      <c r="E87" s="10">
        <v>0</v>
      </c>
      <c r="F87" s="10">
        <f>86.63</f>
        <v>86.63</v>
      </c>
      <c r="G87" s="127">
        <f>SUM(C87:F87)</f>
        <v>86.63</v>
      </c>
      <c r="H87" s="8">
        <v>0</v>
      </c>
      <c r="I87" s="8">
        <v>0</v>
      </c>
      <c r="J87" s="63">
        <f t="shared" si="11"/>
        <v>86.63</v>
      </c>
    </row>
    <row r="88" spans="1:10" ht="14.95" customHeight="1" x14ac:dyDescent="0.25">
      <c r="A88" s="36" t="s">
        <v>332</v>
      </c>
      <c r="B88" s="35" t="s">
        <v>325</v>
      </c>
      <c r="C88" s="8">
        <v>0</v>
      </c>
      <c r="D88" s="10">
        <v>0</v>
      </c>
      <c r="E88" s="10">
        <v>0</v>
      </c>
      <c r="F88" s="10">
        <f>9.63</f>
        <v>9.6300000000000008</v>
      </c>
      <c r="G88" s="127">
        <f>SUM(C88:F88)</f>
        <v>9.6300000000000008</v>
      </c>
      <c r="H88" s="8">
        <v>0</v>
      </c>
      <c r="I88" s="8">
        <v>0</v>
      </c>
      <c r="J88" s="63">
        <f t="shared" si="11"/>
        <v>9.6300000000000008</v>
      </c>
    </row>
    <row r="89" spans="1:10" ht="14.95" customHeight="1" x14ac:dyDescent="0.25">
      <c r="A89" s="36" t="s">
        <v>314</v>
      </c>
      <c r="B89" s="35" t="s">
        <v>302</v>
      </c>
      <c r="C89" s="8">
        <v>0</v>
      </c>
      <c r="D89" s="10">
        <v>0</v>
      </c>
      <c r="E89" s="10">
        <v>0</v>
      </c>
      <c r="F89" s="10">
        <f>603.59</f>
        <v>603.59</v>
      </c>
      <c r="G89" s="127">
        <f>SUM(C89:F89)</f>
        <v>603.59</v>
      </c>
      <c r="H89" s="8">
        <v>0</v>
      </c>
      <c r="I89" s="8">
        <v>0</v>
      </c>
      <c r="J89" s="63">
        <f t="shared" si="11"/>
        <v>603.59</v>
      </c>
    </row>
    <row r="90" spans="1:10" ht="14.95" customHeight="1" x14ac:dyDescent="0.25">
      <c r="A90" s="36" t="s">
        <v>52</v>
      </c>
      <c r="B90" s="35" t="s">
        <v>228</v>
      </c>
      <c r="C90" s="8">
        <v>420</v>
      </c>
      <c r="D90" s="10">
        <v>0</v>
      </c>
      <c r="E90" s="10">
        <v>40</v>
      </c>
      <c r="F90" s="10">
        <v>0</v>
      </c>
      <c r="G90" s="127">
        <f t="shared" ref="G90:G171" si="12">SUM(C90:F90)</f>
        <v>460</v>
      </c>
      <c r="H90" s="8">
        <v>0</v>
      </c>
      <c r="I90" s="8">
        <v>0</v>
      </c>
      <c r="J90" s="63">
        <f t="shared" si="11"/>
        <v>460</v>
      </c>
    </row>
    <row r="91" spans="1:10" ht="14.95" customHeight="1" x14ac:dyDescent="0.25">
      <c r="A91" s="36" t="s">
        <v>333</v>
      </c>
      <c r="B91" s="35" t="s">
        <v>302</v>
      </c>
      <c r="C91" s="8">
        <v>0</v>
      </c>
      <c r="D91" s="10">
        <v>0</v>
      </c>
      <c r="E91" s="10">
        <v>0</v>
      </c>
      <c r="F91" s="10">
        <f>304.01</f>
        <v>304.01</v>
      </c>
      <c r="G91" s="127">
        <f>SUM(C91:F91)</f>
        <v>304.01</v>
      </c>
      <c r="H91" s="8">
        <v>0</v>
      </c>
      <c r="I91" s="8">
        <v>0</v>
      </c>
      <c r="J91" s="63">
        <f t="shared" si="11"/>
        <v>304.01</v>
      </c>
    </row>
    <row r="92" spans="1:10" ht="14.95" customHeight="1" x14ac:dyDescent="0.25">
      <c r="A92" s="36" t="s">
        <v>53</v>
      </c>
      <c r="B92" s="35" t="s">
        <v>228</v>
      </c>
      <c r="C92" s="10">
        <v>343</v>
      </c>
      <c r="D92" s="10">
        <v>0</v>
      </c>
      <c r="E92" s="10">
        <v>40</v>
      </c>
      <c r="F92" s="10">
        <v>0</v>
      </c>
      <c r="G92" s="127">
        <f t="shared" si="12"/>
        <v>383</v>
      </c>
      <c r="H92" s="8">
        <v>0</v>
      </c>
      <c r="I92" s="8">
        <v>0</v>
      </c>
      <c r="J92" s="63">
        <f t="shared" si="11"/>
        <v>383</v>
      </c>
    </row>
    <row r="93" spans="1:10" ht="14.95" customHeight="1" x14ac:dyDescent="0.25">
      <c r="A93" s="36" t="s">
        <v>54</v>
      </c>
      <c r="B93" s="35" t="s">
        <v>228</v>
      </c>
      <c r="C93" s="8">
        <v>4253</v>
      </c>
      <c r="D93" s="10">
        <v>0</v>
      </c>
      <c r="E93" s="10">
        <v>392</v>
      </c>
      <c r="F93" s="10">
        <v>0</v>
      </c>
      <c r="G93" s="127">
        <f t="shared" si="12"/>
        <v>4645</v>
      </c>
      <c r="H93" s="8">
        <v>0</v>
      </c>
      <c r="I93" s="8">
        <v>0</v>
      </c>
      <c r="J93" s="63">
        <f t="shared" si="11"/>
        <v>4645</v>
      </c>
    </row>
    <row r="94" spans="1:10" ht="14.95" customHeight="1" x14ac:dyDescent="0.25">
      <c r="A94" s="36" t="s">
        <v>324</v>
      </c>
      <c r="B94" s="35" t="s">
        <v>325</v>
      </c>
      <c r="C94" s="8">
        <v>0</v>
      </c>
      <c r="D94" s="10">
        <v>0</v>
      </c>
      <c r="E94" s="10">
        <v>0</v>
      </c>
      <c r="F94" s="10">
        <f>144.39</f>
        <v>144.38999999999999</v>
      </c>
      <c r="G94" s="127">
        <f>SUM(C94:F94)</f>
        <v>144.38999999999999</v>
      </c>
      <c r="H94" s="8">
        <v>0</v>
      </c>
      <c r="I94" s="8">
        <v>0</v>
      </c>
      <c r="J94" s="63">
        <f t="shared" si="11"/>
        <v>144.38999999999999</v>
      </c>
    </row>
    <row r="95" spans="1:10" ht="14.95" customHeight="1" x14ac:dyDescent="0.25">
      <c r="A95" s="36" t="s">
        <v>326</v>
      </c>
      <c r="B95" s="35" t="s">
        <v>325</v>
      </c>
      <c r="C95" s="8">
        <v>0</v>
      </c>
      <c r="D95" s="10">
        <v>0</v>
      </c>
      <c r="E95" s="10">
        <v>0</v>
      </c>
      <c r="F95" s="10">
        <f>16.05</f>
        <v>16.05</v>
      </c>
      <c r="G95" s="127">
        <f>SUM(C95:F95)</f>
        <v>16.05</v>
      </c>
      <c r="H95" s="8">
        <v>0</v>
      </c>
      <c r="I95" s="8">
        <v>0</v>
      </c>
      <c r="J95" s="63">
        <f t="shared" si="11"/>
        <v>16.05</v>
      </c>
    </row>
    <row r="96" spans="1:10" ht="14.95" customHeight="1" x14ac:dyDescent="0.25">
      <c r="A96" s="36" t="s">
        <v>55</v>
      </c>
      <c r="B96" s="35" t="s">
        <v>228</v>
      </c>
      <c r="C96" s="8">
        <v>385</v>
      </c>
      <c r="D96" s="10">
        <v>0</v>
      </c>
      <c r="E96" s="10">
        <v>40</v>
      </c>
      <c r="F96" s="10">
        <v>0</v>
      </c>
      <c r="G96" s="127">
        <f t="shared" si="12"/>
        <v>425</v>
      </c>
      <c r="H96" s="8">
        <v>0</v>
      </c>
      <c r="I96" s="8">
        <v>0</v>
      </c>
      <c r="J96" s="63">
        <f t="shared" si="11"/>
        <v>425</v>
      </c>
    </row>
    <row r="97" spans="1:10" ht="14.95" customHeight="1" x14ac:dyDescent="0.25">
      <c r="A97" s="36" t="s">
        <v>56</v>
      </c>
      <c r="B97" s="35" t="s">
        <v>228</v>
      </c>
      <c r="C97" s="8">
        <v>3698</v>
      </c>
      <c r="D97" s="10">
        <v>0</v>
      </c>
      <c r="E97" s="10">
        <v>72</v>
      </c>
      <c r="F97" s="10">
        <v>0</v>
      </c>
      <c r="G97" s="127">
        <f t="shared" si="12"/>
        <v>3770</v>
      </c>
      <c r="H97" s="8">
        <v>0</v>
      </c>
      <c r="I97" s="8">
        <v>0</v>
      </c>
      <c r="J97" s="63">
        <f t="shared" si="11"/>
        <v>3770</v>
      </c>
    </row>
    <row r="98" spans="1:10" ht="14.95" customHeight="1" x14ac:dyDescent="0.25">
      <c r="A98" s="36" t="s">
        <v>327</v>
      </c>
      <c r="B98" s="35" t="s">
        <v>325</v>
      </c>
      <c r="C98" s="8">
        <v>0</v>
      </c>
      <c r="D98" s="10">
        <v>0</v>
      </c>
      <c r="E98" s="10">
        <v>0</v>
      </c>
      <c r="F98" s="10">
        <f>202.14</f>
        <v>202.14</v>
      </c>
      <c r="G98" s="127">
        <f>SUM(C98:F98)</f>
        <v>202.14</v>
      </c>
      <c r="H98" s="8">
        <v>0</v>
      </c>
      <c r="I98" s="8">
        <v>0</v>
      </c>
      <c r="J98" s="63">
        <f t="shared" si="11"/>
        <v>202.14</v>
      </c>
    </row>
    <row r="99" spans="1:10" ht="14.95" customHeight="1" x14ac:dyDescent="0.25">
      <c r="A99" s="36" t="s">
        <v>328</v>
      </c>
      <c r="B99" s="35" t="s">
        <v>325</v>
      </c>
      <c r="C99" s="8">
        <v>0</v>
      </c>
      <c r="D99" s="10">
        <v>0</v>
      </c>
      <c r="E99" s="10">
        <v>0</v>
      </c>
      <c r="F99" s="10">
        <f>22.46</f>
        <v>22.46</v>
      </c>
      <c r="G99" s="127">
        <f>SUM(C99:F99)</f>
        <v>22.46</v>
      </c>
      <c r="H99" s="8">
        <v>0</v>
      </c>
      <c r="I99" s="8">
        <v>0</v>
      </c>
      <c r="J99" s="63">
        <f t="shared" si="11"/>
        <v>22.46</v>
      </c>
    </row>
    <row r="100" spans="1:10" ht="14.95" customHeight="1" x14ac:dyDescent="0.25">
      <c r="A100" s="36" t="s">
        <v>311</v>
      </c>
      <c r="B100" s="35" t="s">
        <v>304</v>
      </c>
      <c r="C100" s="8">
        <v>0</v>
      </c>
      <c r="D100" s="10">
        <v>0</v>
      </c>
      <c r="E100" s="10">
        <v>0</v>
      </c>
      <c r="F100" s="10">
        <f>653.56</f>
        <v>653.55999999999995</v>
      </c>
      <c r="G100" s="127">
        <f>SUM(C100:F100)</f>
        <v>653.55999999999995</v>
      </c>
      <c r="H100" s="8">
        <v>0</v>
      </c>
      <c r="I100" s="8">
        <v>0</v>
      </c>
      <c r="J100" s="63">
        <f t="shared" si="11"/>
        <v>653.55999999999995</v>
      </c>
    </row>
    <row r="101" spans="1:10" ht="14.95" customHeight="1" x14ac:dyDescent="0.25">
      <c r="A101" s="36" t="s">
        <v>57</v>
      </c>
      <c r="B101" s="35" t="s">
        <v>228</v>
      </c>
      <c r="C101" s="8">
        <v>4194</v>
      </c>
      <c r="D101" s="10">
        <v>0</v>
      </c>
      <c r="E101" s="10">
        <v>105</v>
      </c>
      <c r="F101" s="10">
        <v>0</v>
      </c>
      <c r="G101" s="127">
        <f t="shared" si="12"/>
        <v>4299</v>
      </c>
      <c r="H101" s="8">
        <v>0</v>
      </c>
      <c r="I101" s="8">
        <v>0</v>
      </c>
      <c r="J101" s="63">
        <f t="shared" si="11"/>
        <v>4299</v>
      </c>
    </row>
    <row r="102" spans="1:10" ht="14.95" customHeight="1" x14ac:dyDescent="0.25">
      <c r="A102" s="36" t="s">
        <v>315</v>
      </c>
      <c r="B102" s="35" t="s">
        <v>302</v>
      </c>
      <c r="C102" s="8">
        <v>0</v>
      </c>
      <c r="D102" s="10">
        <v>0</v>
      </c>
      <c r="E102" s="10">
        <v>0</v>
      </c>
      <c r="F102" s="10">
        <f>554.24</f>
        <v>554.24</v>
      </c>
      <c r="G102" s="127">
        <f>SUM(C102:F102)</f>
        <v>554.24</v>
      </c>
      <c r="H102" s="8">
        <v>0</v>
      </c>
      <c r="I102" s="8">
        <v>0</v>
      </c>
      <c r="J102" s="63">
        <f t="shared" si="11"/>
        <v>554.24</v>
      </c>
    </row>
    <row r="103" spans="1:10" ht="29.25" customHeight="1" x14ac:dyDescent="0.25">
      <c r="A103" s="9" t="s">
        <v>275</v>
      </c>
      <c r="B103" s="35" t="s">
        <v>228</v>
      </c>
      <c r="C103" s="8">
        <v>0</v>
      </c>
      <c r="D103" s="10">
        <v>0</v>
      </c>
      <c r="E103" s="10">
        <v>53.41</v>
      </c>
      <c r="F103" s="10">
        <v>0</v>
      </c>
      <c r="G103" s="127">
        <f t="shared" si="12"/>
        <v>53.41</v>
      </c>
      <c r="H103" s="8">
        <v>0</v>
      </c>
      <c r="I103" s="8">
        <v>0</v>
      </c>
      <c r="J103" s="63">
        <f t="shared" si="11"/>
        <v>53.41</v>
      </c>
    </row>
    <row r="104" spans="1:10" ht="14.95" customHeight="1" x14ac:dyDescent="0.25">
      <c r="A104" s="9" t="s">
        <v>58</v>
      </c>
      <c r="B104" s="35" t="s">
        <v>228</v>
      </c>
      <c r="C104" s="8">
        <v>9731</v>
      </c>
      <c r="D104" s="10">
        <v>0</v>
      </c>
      <c r="E104" s="10">
        <v>988</v>
      </c>
      <c r="F104" s="10">
        <v>0</v>
      </c>
      <c r="G104" s="127">
        <f t="shared" si="12"/>
        <v>10719</v>
      </c>
      <c r="H104" s="8">
        <v>0</v>
      </c>
      <c r="I104" s="8">
        <v>0</v>
      </c>
      <c r="J104" s="63">
        <f t="shared" si="11"/>
        <v>10719</v>
      </c>
    </row>
    <row r="105" spans="1:10" ht="14.95" customHeight="1" x14ac:dyDescent="0.25">
      <c r="A105" s="9" t="s">
        <v>59</v>
      </c>
      <c r="B105" s="35" t="s">
        <v>228</v>
      </c>
      <c r="C105" s="8">
        <v>7539</v>
      </c>
      <c r="D105" s="10">
        <v>0</v>
      </c>
      <c r="E105" s="10">
        <v>206.1</v>
      </c>
      <c r="F105" s="10">
        <v>0</v>
      </c>
      <c r="G105" s="127">
        <f t="shared" si="12"/>
        <v>7745.1</v>
      </c>
      <c r="H105" s="8">
        <v>0</v>
      </c>
      <c r="I105" s="8">
        <v>0</v>
      </c>
      <c r="J105" s="63">
        <f t="shared" si="11"/>
        <v>7745.1</v>
      </c>
    </row>
    <row r="106" spans="1:10" ht="14.95" customHeight="1" x14ac:dyDescent="0.25">
      <c r="A106" s="9" t="s">
        <v>316</v>
      </c>
      <c r="B106" s="35" t="s">
        <v>317</v>
      </c>
      <c r="C106" s="8">
        <v>0</v>
      </c>
      <c r="D106" s="10">
        <v>0</v>
      </c>
      <c r="E106" s="10">
        <v>0</v>
      </c>
      <c r="F106" s="10">
        <f>1060.09</f>
        <v>1060.0899999999999</v>
      </c>
      <c r="G106" s="127">
        <f>SUM(C106:F106)</f>
        <v>1060.0899999999999</v>
      </c>
      <c r="H106" s="8">
        <v>0</v>
      </c>
      <c r="I106" s="8">
        <v>0</v>
      </c>
      <c r="J106" s="63">
        <f t="shared" si="11"/>
        <v>1060.0899999999999</v>
      </c>
    </row>
    <row r="107" spans="1:10" ht="14.95" customHeight="1" x14ac:dyDescent="0.25">
      <c r="A107" s="36" t="s">
        <v>60</v>
      </c>
      <c r="B107" s="35" t="s">
        <v>228</v>
      </c>
      <c r="C107" s="8">
        <v>2258</v>
      </c>
      <c r="D107" s="10">
        <v>0</v>
      </c>
      <c r="E107" s="10">
        <v>85.93</v>
      </c>
      <c r="F107" s="10">
        <v>0</v>
      </c>
      <c r="G107" s="127">
        <f t="shared" si="12"/>
        <v>2343.9299999999998</v>
      </c>
      <c r="H107" s="8">
        <v>0</v>
      </c>
      <c r="I107" s="8">
        <v>0</v>
      </c>
      <c r="J107" s="63">
        <f t="shared" si="11"/>
        <v>2343.9299999999998</v>
      </c>
    </row>
    <row r="108" spans="1:10" ht="14.95" customHeight="1" x14ac:dyDescent="0.25">
      <c r="A108" s="36" t="s">
        <v>349</v>
      </c>
      <c r="B108" s="35" t="s">
        <v>325</v>
      </c>
      <c r="C108" s="8">
        <v>0</v>
      </c>
      <c r="D108" s="10">
        <v>0</v>
      </c>
      <c r="E108" s="10">
        <v>0</v>
      </c>
      <c r="F108" s="10">
        <f>15.65</f>
        <v>15.65</v>
      </c>
      <c r="G108" s="127">
        <f>SUM(C108:F108)</f>
        <v>15.65</v>
      </c>
      <c r="H108" s="8">
        <v>0</v>
      </c>
      <c r="I108" s="8">
        <v>0</v>
      </c>
      <c r="J108" s="63">
        <f t="shared" si="11"/>
        <v>15.65</v>
      </c>
    </row>
    <row r="109" spans="1:10" ht="14.95" customHeight="1" x14ac:dyDescent="0.25">
      <c r="A109" s="36" t="s">
        <v>372</v>
      </c>
      <c r="B109" s="35" t="s">
        <v>350</v>
      </c>
      <c r="C109" s="8">
        <v>0</v>
      </c>
      <c r="D109" s="10">
        <v>0</v>
      </c>
      <c r="E109" s="10">
        <v>0</v>
      </c>
      <c r="F109" s="10">
        <f>1.74</f>
        <v>1.74</v>
      </c>
      <c r="G109" s="127">
        <f>SUM(C109:F109)</f>
        <v>1.74</v>
      </c>
      <c r="H109" s="8">
        <v>0</v>
      </c>
      <c r="I109" s="8">
        <v>0</v>
      </c>
      <c r="J109" s="63">
        <f t="shared" si="11"/>
        <v>1.74</v>
      </c>
    </row>
    <row r="110" spans="1:10" ht="14.95" customHeight="1" x14ac:dyDescent="0.25">
      <c r="A110" s="36" t="s">
        <v>61</v>
      </c>
      <c r="B110" s="35" t="s">
        <v>228</v>
      </c>
      <c r="C110" s="8">
        <v>5699</v>
      </c>
      <c r="D110" s="10">
        <v>0</v>
      </c>
      <c r="E110" s="10">
        <v>164.77</v>
      </c>
      <c r="F110" s="10">
        <v>0</v>
      </c>
      <c r="G110" s="127">
        <f t="shared" si="12"/>
        <v>5863.77</v>
      </c>
      <c r="H110" s="8">
        <v>0</v>
      </c>
      <c r="I110" s="8">
        <v>0</v>
      </c>
      <c r="J110" s="63">
        <f t="shared" si="11"/>
        <v>5863.77</v>
      </c>
    </row>
    <row r="111" spans="1:10" ht="14.95" customHeight="1" x14ac:dyDescent="0.25">
      <c r="A111" s="36" t="s">
        <v>344</v>
      </c>
      <c r="B111" s="35" t="s">
        <v>304</v>
      </c>
      <c r="C111" s="8">
        <v>0</v>
      </c>
      <c r="D111" s="10">
        <v>0</v>
      </c>
      <c r="E111" s="10">
        <v>0</v>
      </c>
      <c r="F111" s="10">
        <f>1156.2</f>
        <v>1156.2</v>
      </c>
      <c r="G111" s="127">
        <f>SUM(C111:F111)</f>
        <v>1156.2</v>
      </c>
      <c r="H111" s="8">
        <v>0</v>
      </c>
      <c r="I111" s="8">
        <v>0</v>
      </c>
      <c r="J111" s="63">
        <f t="shared" si="11"/>
        <v>1156.2</v>
      </c>
    </row>
    <row r="112" spans="1:10" ht="14.95" customHeight="1" x14ac:dyDescent="0.25">
      <c r="A112" s="9" t="s">
        <v>62</v>
      </c>
      <c r="B112" s="35" t="s">
        <v>228</v>
      </c>
      <c r="C112" s="8">
        <v>11542</v>
      </c>
      <c r="D112" s="10">
        <v>0</v>
      </c>
      <c r="E112" s="10">
        <v>304.7</v>
      </c>
      <c r="F112" s="10">
        <v>0</v>
      </c>
      <c r="G112" s="127">
        <f t="shared" si="12"/>
        <v>11846.7</v>
      </c>
      <c r="H112" s="8">
        <v>0</v>
      </c>
      <c r="I112" s="8">
        <v>0</v>
      </c>
      <c r="J112" s="63">
        <f t="shared" si="11"/>
        <v>11846.7</v>
      </c>
    </row>
    <row r="113" spans="1:10" ht="14.95" customHeight="1" x14ac:dyDescent="0.25">
      <c r="A113" s="9" t="s">
        <v>329</v>
      </c>
      <c r="B113" s="35" t="s">
        <v>325</v>
      </c>
      <c r="C113" s="8">
        <v>0</v>
      </c>
      <c r="D113" s="10">
        <v>0</v>
      </c>
      <c r="E113" s="10">
        <v>0</v>
      </c>
      <c r="F113" s="10">
        <f>15.65</f>
        <v>15.65</v>
      </c>
      <c r="G113" s="127">
        <f>SUM(C113:F113)</f>
        <v>15.65</v>
      </c>
      <c r="H113" s="8">
        <v>0</v>
      </c>
      <c r="I113" s="8">
        <v>0</v>
      </c>
      <c r="J113" s="63">
        <f t="shared" si="11"/>
        <v>15.65</v>
      </c>
    </row>
    <row r="114" spans="1:10" ht="14.95" customHeight="1" x14ac:dyDescent="0.25">
      <c r="A114" s="9" t="s">
        <v>330</v>
      </c>
      <c r="B114" s="35" t="s">
        <v>325</v>
      </c>
      <c r="C114" s="8">
        <v>0</v>
      </c>
      <c r="D114" s="10">
        <v>0</v>
      </c>
      <c r="E114" s="10">
        <v>0</v>
      </c>
      <c r="F114" s="10">
        <f>1.74</f>
        <v>1.74</v>
      </c>
      <c r="G114" s="127">
        <f>SUM(C114:F114)</f>
        <v>1.74</v>
      </c>
      <c r="H114" s="8">
        <v>0</v>
      </c>
      <c r="I114" s="8">
        <v>0</v>
      </c>
      <c r="J114" s="63">
        <f t="shared" si="11"/>
        <v>1.74</v>
      </c>
    </row>
    <row r="115" spans="1:10" ht="14.95" customHeight="1" x14ac:dyDescent="0.25">
      <c r="A115" s="9" t="s">
        <v>342</v>
      </c>
      <c r="B115" s="35" t="s">
        <v>343</v>
      </c>
      <c r="C115" s="8">
        <v>0</v>
      </c>
      <c r="D115" s="10">
        <v>0</v>
      </c>
      <c r="E115" s="10">
        <v>0</v>
      </c>
      <c r="F115" s="10">
        <f>1583.91</f>
        <v>1583.91</v>
      </c>
      <c r="G115" s="127">
        <f>SUM(C115:F115)</f>
        <v>1583.91</v>
      </c>
      <c r="H115" s="8">
        <v>0</v>
      </c>
      <c r="I115" s="8">
        <v>0</v>
      </c>
      <c r="J115" s="63">
        <f t="shared" si="11"/>
        <v>1583.91</v>
      </c>
    </row>
    <row r="116" spans="1:10" ht="14.95" customHeight="1" x14ac:dyDescent="0.25">
      <c r="A116" s="9" t="s">
        <v>354</v>
      </c>
      <c r="B116" s="35" t="s">
        <v>228</v>
      </c>
      <c r="C116" s="8">
        <v>0</v>
      </c>
      <c r="D116" s="10">
        <v>0</v>
      </c>
      <c r="E116" s="10">
        <v>0</v>
      </c>
      <c r="F116" s="10">
        <f>3171.38</f>
        <v>3171.38</v>
      </c>
      <c r="G116" s="127">
        <f>SUM(C116:F116)</f>
        <v>3171.38</v>
      </c>
      <c r="H116" s="8">
        <v>0</v>
      </c>
      <c r="I116" s="8">
        <v>0</v>
      </c>
      <c r="J116" s="63">
        <f t="shared" si="11"/>
        <v>3171.38</v>
      </c>
    </row>
    <row r="117" spans="1:10" ht="14.95" customHeight="1" x14ac:dyDescent="0.25">
      <c r="A117" s="36" t="s">
        <v>63</v>
      </c>
      <c r="B117" s="35" t="s">
        <v>228</v>
      </c>
      <c r="C117" s="8">
        <v>9249</v>
      </c>
      <c r="D117" s="10">
        <v>0</v>
      </c>
      <c r="E117" s="10">
        <v>231.77</v>
      </c>
      <c r="F117" s="10">
        <v>0</v>
      </c>
      <c r="G117" s="127">
        <f t="shared" si="12"/>
        <v>9480.77</v>
      </c>
      <c r="H117" s="8">
        <v>0</v>
      </c>
      <c r="I117" s="8">
        <v>0</v>
      </c>
      <c r="J117" s="63">
        <f t="shared" si="11"/>
        <v>9480.77</v>
      </c>
    </row>
    <row r="118" spans="1:10" ht="14.95" customHeight="1" x14ac:dyDescent="0.25">
      <c r="A118" s="36" t="s">
        <v>307</v>
      </c>
      <c r="B118" s="35" t="s">
        <v>228</v>
      </c>
      <c r="C118" s="8">
        <v>0</v>
      </c>
      <c r="D118" s="10">
        <f>1421.59</f>
        <v>1421.59</v>
      </c>
      <c r="E118" s="10">
        <v>0</v>
      </c>
      <c r="F118" s="10">
        <v>0</v>
      </c>
      <c r="G118" s="127">
        <f t="shared" si="12"/>
        <v>1421.59</v>
      </c>
      <c r="H118" s="8">
        <v>0</v>
      </c>
      <c r="I118" s="8">
        <v>0</v>
      </c>
      <c r="J118" s="63">
        <f t="shared" si="11"/>
        <v>1421.59</v>
      </c>
    </row>
    <row r="119" spans="1:10" ht="14.95" customHeight="1" x14ac:dyDescent="0.25">
      <c r="A119" s="36" t="s">
        <v>308</v>
      </c>
      <c r="B119" s="35" t="s">
        <v>228</v>
      </c>
      <c r="C119" s="8">
        <v>0</v>
      </c>
      <c r="D119" s="10">
        <f>83.63</f>
        <v>83.63</v>
      </c>
      <c r="E119" s="10">
        <v>0</v>
      </c>
      <c r="F119" s="10">
        <v>0</v>
      </c>
      <c r="G119" s="127">
        <f t="shared" si="12"/>
        <v>83.63</v>
      </c>
      <c r="H119" s="8">
        <v>0</v>
      </c>
      <c r="I119" s="8">
        <v>0</v>
      </c>
      <c r="J119" s="63">
        <f t="shared" si="11"/>
        <v>83.63</v>
      </c>
    </row>
    <row r="120" spans="1:10" ht="14.95" customHeight="1" x14ac:dyDescent="0.25">
      <c r="A120" s="36" t="s">
        <v>320</v>
      </c>
      <c r="B120" s="35" t="s">
        <v>304</v>
      </c>
      <c r="C120" s="8">
        <v>0</v>
      </c>
      <c r="D120" s="10">
        <v>0</v>
      </c>
      <c r="E120" s="10">
        <v>0</v>
      </c>
      <c r="F120" s="10">
        <f>1352.09</f>
        <v>1352.09</v>
      </c>
      <c r="G120" s="127">
        <f>SUM(C120:F120)</f>
        <v>1352.09</v>
      </c>
      <c r="H120" s="8">
        <v>0</v>
      </c>
      <c r="I120" s="8">
        <v>0</v>
      </c>
      <c r="J120" s="63">
        <f t="shared" si="11"/>
        <v>1352.09</v>
      </c>
    </row>
    <row r="121" spans="1:10" ht="14.95" customHeight="1" x14ac:dyDescent="0.25">
      <c r="A121" s="36" t="s">
        <v>64</v>
      </c>
      <c r="B121" s="35" t="s">
        <v>228</v>
      </c>
      <c r="C121" s="8">
        <v>9373</v>
      </c>
      <c r="D121" s="10">
        <v>0</v>
      </c>
      <c r="E121" s="10">
        <v>238.62</v>
      </c>
      <c r="F121" s="10">
        <v>0</v>
      </c>
      <c r="G121" s="127">
        <f t="shared" si="12"/>
        <v>9611.6200000000008</v>
      </c>
      <c r="H121" s="8">
        <v>0</v>
      </c>
      <c r="I121" s="8">
        <v>0</v>
      </c>
      <c r="J121" s="63">
        <f t="shared" si="11"/>
        <v>9611.6200000000008</v>
      </c>
    </row>
    <row r="122" spans="1:10" ht="14.95" customHeight="1" x14ac:dyDescent="0.25">
      <c r="A122" s="36" t="s">
        <v>65</v>
      </c>
      <c r="B122" s="35" t="s">
        <v>228</v>
      </c>
      <c r="C122" s="8">
        <v>7684</v>
      </c>
      <c r="D122" s="10">
        <v>0</v>
      </c>
      <c r="E122" s="10">
        <v>289.77</v>
      </c>
      <c r="F122" s="10">
        <v>0</v>
      </c>
      <c r="G122" s="127">
        <f t="shared" si="12"/>
        <v>7973.77</v>
      </c>
      <c r="H122" s="8">
        <v>27</v>
      </c>
      <c r="I122" s="8">
        <v>0</v>
      </c>
      <c r="J122" s="63">
        <f t="shared" si="11"/>
        <v>8000.77</v>
      </c>
    </row>
    <row r="123" spans="1:10" ht="14.95" customHeight="1" x14ac:dyDescent="0.25">
      <c r="A123" s="36" t="s">
        <v>345</v>
      </c>
      <c r="B123" s="35" t="s">
        <v>304</v>
      </c>
      <c r="C123" s="8">
        <v>0</v>
      </c>
      <c r="D123" s="10">
        <v>0</v>
      </c>
      <c r="E123" s="10">
        <v>0</v>
      </c>
      <c r="F123" s="10">
        <f>1306.67</f>
        <v>1306.67</v>
      </c>
      <c r="G123" s="127">
        <f>SUM(C123:F123)</f>
        <v>1306.67</v>
      </c>
      <c r="H123" s="8">
        <v>0</v>
      </c>
      <c r="I123" s="8">
        <v>0</v>
      </c>
      <c r="J123" s="63">
        <f t="shared" si="11"/>
        <v>1306.67</v>
      </c>
    </row>
    <row r="124" spans="1:10" ht="14.95" customHeight="1" x14ac:dyDescent="0.25">
      <c r="A124" s="36" t="s">
        <v>66</v>
      </c>
      <c r="B124" s="35" t="s">
        <v>228</v>
      </c>
      <c r="C124" s="8">
        <v>3669</v>
      </c>
      <c r="D124" s="10">
        <v>0</v>
      </c>
      <c r="E124" s="10">
        <v>264.79000000000002</v>
      </c>
      <c r="F124" s="10">
        <v>0</v>
      </c>
      <c r="G124" s="127">
        <f t="shared" si="12"/>
        <v>3933.79</v>
      </c>
      <c r="H124" s="8">
        <v>0</v>
      </c>
      <c r="I124" s="8">
        <v>0</v>
      </c>
      <c r="J124" s="63">
        <f t="shared" si="11"/>
        <v>3933.79</v>
      </c>
    </row>
    <row r="125" spans="1:10" ht="27.7" customHeight="1" x14ac:dyDescent="0.25">
      <c r="A125" s="9" t="s">
        <v>276</v>
      </c>
      <c r="B125" s="35" t="s">
        <v>228</v>
      </c>
      <c r="C125" s="8">
        <v>0</v>
      </c>
      <c r="D125" s="10">
        <v>0</v>
      </c>
      <c r="E125" s="10">
        <v>74.260000000000005</v>
      </c>
      <c r="F125" s="10">
        <v>0</v>
      </c>
      <c r="G125" s="127">
        <f t="shared" si="12"/>
        <v>74.260000000000005</v>
      </c>
      <c r="H125" s="8">
        <v>0</v>
      </c>
      <c r="I125" s="8">
        <v>0</v>
      </c>
      <c r="J125" s="63">
        <f t="shared" si="11"/>
        <v>74.260000000000005</v>
      </c>
    </row>
    <row r="126" spans="1:10" ht="27.7" customHeight="1" x14ac:dyDescent="0.25">
      <c r="A126" s="9" t="s">
        <v>277</v>
      </c>
      <c r="B126" s="35" t="s">
        <v>228</v>
      </c>
      <c r="C126" s="8">
        <v>0</v>
      </c>
      <c r="D126" s="10">
        <v>0</v>
      </c>
      <c r="E126" s="10">
        <v>182.4</v>
      </c>
      <c r="F126" s="10">
        <v>0</v>
      </c>
      <c r="G126" s="127">
        <f t="shared" si="12"/>
        <v>182.4</v>
      </c>
      <c r="H126" s="8">
        <v>0</v>
      </c>
      <c r="I126" s="8">
        <v>0</v>
      </c>
      <c r="J126" s="63">
        <f t="shared" si="11"/>
        <v>182.4</v>
      </c>
    </row>
    <row r="127" spans="1:10" ht="14.95" customHeight="1" x14ac:dyDescent="0.25">
      <c r="A127" s="9" t="s">
        <v>305</v>
      </c>
      <c r="B127" s="35" t="s">
        <v>228</v>
      </c>
      <c r="C127" s="8">
        <v>0</v>
      </c>
      <c r="D127" s="10">
        <f>1510.99</f>
        <v>1510.99</v>
      </c>
      <c r="E127" s="10">
        <v>0</v>
      </c>
      <c r="F127" s="10">
        <v>0</v>
      </c>
      <c r="G127" s="127">
        <f t="shared" si="12"/>
        <v>1510.99</v>
      </c>
      <c r="H127" s="8">
        <v>0</v>
      </c>
      <c r="I127" s="8">
        <v>0</v>
      </c>
      <c r="J127" s="63">
        <f t="shared" si="11"/>
        <v>1510.99</v>
      </c>
    </row>
    <row r="128" spans="1:10" ht="14.95" customHeight="1" x14ac:dyDescent="0.25">
      <c r="A128" s="9" t="s">
        <v>306</v>
      </c>
      <c r="B128" s="35" t="s">
        <v>228</v>
      </c>
      <c r="C128" s="8">
        <v>0</v>
      </c>
      <c r="D128" s="10">
        <f>88.89</f>
        <v>88.89</v>
      </c>
      <c r="E128" s="10">
        <v>0</v>
      </c>
      <c r="F128" s="10">
        <v>0</v>
      </c>
      <c r="G128" s="127">
        <f t="shared" si="12"/>
        <v>88.89</v>
      </c>
      <c r="H128" s="8">
        <v>0</v>
      </c>
      <c r="I128" s="8">
        <v>0</v>
      </c>
      <c r="J128" s="63">
        <f t="shared" si="11"/>
        <v>88.89</v>
      </c>
    </row>
    <row r="129" spans="1:10" ht="14.95" customHeight="1" x14ac:dyDescent="0.25">
      <c r="A129" s="36" t="s">
        <v>67</v>
      </c>
      <c r="B129" s="35" t="s">
        <v>228</v>
      </c>
      <c r="C129" s="8">
        <v>1717</v>
      </c>
      <c r="D129" s="10">
        <v>0</v>
      </c>
      <c r="E129" s="10">
        <v>63</v>
      </c>
      <c r="F129" s="10">
        <v>0</v>
      </c>
      <c r="G129" s="127">
        <f t="shared" si="12"/>
        <v>1780</v>
      </c>
      <c r="H129" s="8">
        <v>0</v>
      </c>
      <c r="I129" s="8">
        <v>0</v>
      </c>
      <c r="J129" s="63">
        <f t="shared" si="11"/>
        <v>1780</v>
      </c>
    </row>
    <row r="130" spans="1:10" ht="14.95" customHeight="1" x14ac:dyDescent="0.25">
      <c r="A130" s="36" t="s">
        <v>334</v>
      </c>
      <c r="B130" s="35" t="s">
        <v>302</v>
      </c>
      <c r="C130" s="8">
        <v>0</v>
      </c>
      <c r="D130" s="10">
        <v>0</v>
      </c>
      <c r="E130" s="10">
        <v>0</v>
      </c>
      <c r="F130" s="10">
        <f>402.67</f>
        <v>402.67</v>
      </c>
      <c r="G130" s="127">
        <f>SUM(C130:F130)</f>
        <v>402.67</v>
      </c>
      <c r="H130" s="8">
        <v>0</v>
      </c>
      <c r="I130" s="8">
        <v>0</v>
      </c>
      <c r="J130" s="63">
        <f t="shared" si="11"/>
        <v>402.67</v>
      </c>
    </row>
    <row r="131" spans="1:10" ht="14.95" customHeight="1" x14ac:dyDescent="0.25">
      <c r="A131" s="36" t="s">
        <v>68</v>
      </c>
      <c r="B131" s="35" t="s">
        <v>228</v>
      </c>
      <c r="C131" s="8">
        <v>11141</v>
      </c>
      <c r="D131" s="10">
        <v>0</v>
      </c>
      <c r="E131" s="10">
        <v>339.05</v>
      </c>
      <c r="F131" s="10">
        <v>0</v>
      </c>
      <c r="G131" s="127">
        <f t="shared" si="12"/>
        <v>11480.05</v>
      </c>
      <c r="H131" s="8">
        <v>149</v>
      </c>
      <c r="I131" s="8">
        <v>0</v>
      </c>
      <c r="J131" s="63">
        <f t="shared" si="11"/>
        <v>11629.05</v>
      </c>
    </row>
    <row r="132" spans="1:10" ht="14.95" customHeight="1" x14ac:dyDescent="0.25">
      <c r="A132" s="36" t="s">
        <v>69</v>
      </c>
      <c r="B132" s="35" t="s">
        <v>228</v>
      </c>
      <c r="C132" s="8">
        <v>2618</v>
      </c>
      <c r="D132" s="10">
        <v>0</v>
      </c>
      <c r="E132" s="10">
        <v>60</v>
      </c>
      <c r="F132" s="10">
        <v>0</v>
      </c>
      <c r="G132" s="127">
        <f t="shared" si="12"/>
        <v>2678</v>
      </c>
      <c r="H132" s="87">
        <v>0</v>
      </c>
      <c r="I132" s="10">
        <v>0</v>
      </c>
      <c r="J132" s="63">
        <f t="shared" si="11"/>
        <v>2678</v>
      </c>
    </row>
    <row r="133" spans="1:10" ht="14.95" customHeight="1" x14ac:dyDescent="0.25">
      <c r="A133" s="36" t="s">
        <v>70</v>
      </c>
      <c r="B133" s="125" t="s">
        <v>228</v>
      </c>
      <c r="C133" s="8">
        <v>2082</v>
      </c>
      <c r="D133" s="10">
        <v>0</v>
      </c>
      <c r="E133" s="10">
        <v>602</v>
      </c>
      <c r="F133" s="10">
        <v>0</v>
      </c>
      <c r="G133" s="127">
        <f t="shared" si="12"/>
        <v>2684</v>
      </c>
      <c r="H133" s="88">
        <v>0</v>
      </c>
      <c r="I133" s="87">
        <v>0</v>
      </c>
      <c r="J133" s="162">
        <f t="shared" si="11"/>
        <v>2684</v>
      </c>
    </row>
    <row r="134" spans="1:10" ht="14.95" customHeight="1" x14ac:dyDescent="0.25">
      <c r="A134" s="36" t="s">
        <v>71</v>
      </c>
      <c r="B134" s="126" t="s">
        <v>228</v>
      </c>
      <c r="C134" s="10">
        <v>1458</v>
      </c>
      <c r="D134" s="88">
        <v>0</v>
      </c>
      <c r="E134" s="88">
        <v>8</v>
      </c>
      <c r="F134" s="88">
        <v>0</v>
      </c>
      <c r="G134" s="88">
        <f t="shared" si="12"/>
        <v>1466</v>
      </c>
      <c r="H134" s="87">
        <v>0</v>
      </c>
      <c r="I134" s="87">
        <v>0</v>
      </c>
      <c r="J134" s="163">
        <f t="shared" ref="J134:J197" si="13">SUM(G134:I134)</f>
        <v>1466</v>
      </c>
    </row>
    <row r="135" spans="1:10" ht="14.95" customHeight="1" x14ac:dyDescent="0.25">
      <c r="A135" s="36" t="s">
        <v>72</v>
      </c>
      <c r="B135" s="126" t="s">
        <v>228</v>
      </c>
      <c r="C135" s="87">
        <v>21688</v>
      </c>
      <c r="D135" s="88">
        <v>0</v>
      </c>
      <c r="E135" s="88">
        <v>891</v>
      </c>
      <c r="F135" s="88">
        <v>0</v>
      </c>
      <c r="G135" s="88">
        <f t="shared" si="12"/>
        <v>22579</v>
      </c>
      <c r="H135" s="88">
        <v>0</v>
      </c>
      <c r="I135" s="87">
        <v>0</v>
      </c>
      <c r="J135" s="163">
        <f t="shared" si="13"/>
        <v>22579</v>
      </c>
    </row>
    <row r="136" spans="1:10" ht="14.95" customHeight="1" x14ac:dyDescent="0.25">
      <c r="A136" s="142" t="s">
        <v>355</v>
      </c>
      <c r="B136" s="128" t="s">
        <v>228</v>
      </c>
      <c r="C136" s="10">
        <v>0</v>
      </c>
      <c r="D136" s="10">
        <v>0</v>
      </c>
      <c r="E136" s="10">
        <v>0</v>
      </c>
      <c r="F136" s="88">
        <f>1827</f>
        <v>1827</v>
      </c>
      <c r="G136" s="88">
        <f>SUM(C136:F136)</f>
        <v>1827</v>
      </c>
      <c r="H136" s="88">
        <v>0</v>
      </c>
      <c r="I136" s="87">
        <v>0</v>
      </c>
      <c r="J136" s="163">
        <f t="shared" si="13"/>
        <v>1827</v>
      </c>
    </row>
    <row r="137" spans="1:10" ht="14.95" customHeight="1" x14ac:dyDescent="0.25">
      <c r="A137" s="41" t="s">
        <v>73</v>
      </c>
      <c r="B137" s="128" t="s">
        <v>228</v>
      </c>
      <c r="C137" s="10">
        <v>26800</v>
      </c>
      <c r="D137" s="10">
        <v>0</v>
      </c>
      <c r="E137" s="10">
        <v>1503</v>
      </c>
      <c r="F137" s="88">
        <v>0</v>
      </c>
      <c r="G137" s="88">
        <f t="shared" si="12"/>
        <v>28303</v>
      </c>
      <c r="H137" s="88">
        <v>0</v>
      </c>
      <c r="I137" s="88">
        <v>0</v>
      </c>
      <c r="J137" s="162">
        <f t="shared" si="13"/>
        <v>28303</v>
      </c>
    </row>
    <row r="138" spans="1:10" ht="36.700000000000003" customHeight="1" x14ac:dyDescent="0.25">
      <c r="A138" s="119" t="s">
        <v>74</v>
      </c>
      <c r="B138" s="118"/>
      <c r="C138" s="104">
        <v>5000</v>
      </c>
      <c r="D138" s="161">
        <f>-2807.38</f>
        <v>-2807.38</v>
      </c>
      <c r="E138" s="161">
        <v>426.22</v>
      </c>
      <c r="F138" s="161">
        <v>0</v>
      </c>
      <c r="G138" s="104">
        <f t="shared" si="12"/>
        <v>2618.84</v>
      </c>
      <c r="H138" s="104">
        <v>0</v>
      </c>
      <c r="I138" s="104">
        <v>0</v>
      </c>
      <c r="J138" s="164">
        <f t="shared" si="13"/>
        <v>2618.84</v>
      </c>
    </row>
    <row r="139" spans="1:10" ht="14.95" customHeight="1" x14ac:dyDescent="0.25">
      <c r="A139" s="165" t="s">
        <v>75</v>
      </c>
      <c r="B139" s="160"/>
      <c r="C139" s="87">
        <v>0</v>
      </c>
      <c r="D139" s="127">
        <f>342.88</f>
        <v>342.88</v>
      </c>
      <c r="E139" s="127">
        <v>0</v>
      </c>
      <c r="F139" s="127">
        <v>0</v>
      </c>
      <c r="G139" s="87">
        <f t="shared" si="12"/>
        <v>342.88</v>
      </c>
      <c r="H139" s="87">
        <v>0</v>
      </c>
      <c r="I139" s="87">
        <v>0</v>
      </c>
      <c r="J139" s="163">
        <f t="shared" si="13"/>
        <v>342.88</v>
      </c>
    </row>
    <row r="140" spans="1:10" ht="14.95" customHeight="1" x14ac:dyDescent="0.25">
      <c r="A140" s="119" t="s">
        <v>76</v>
      </c>
      <c r="B140" s="118"/>
      <c r="C140" s="104">
        <v>0</v>
      </c>
      <c r="D140" s="161">
        <v>154.59</v>
      </c>
      <c r="E140" s="161">
        <v>0</v>
      </c>
      <c r="F140" s="161">
        <v>0</v>
      </c>
      <c r="G140" s="104">
        <f t="shared" si="12"/>
        <v>154.59</v>
      </c>
      <c r="H140" s="104">
        <v>0</v>
      </c>
      <c r="I140" s="104">
        <v>0</v>
      </c>
      <c r="J140" s="164">
        <f t="shared" si="13"/>
        <v>154.59</v>
      </c>
    </row>
    <row r="141" spans="1:10" ht="14.95" customHeight="1" x14ac:dyDescent="0.25">
      <c r="A141" s="119" t="s">
        <v>77</v>
      </c>
      <c r="B141" s="118"/>
      <c r="C141" s="104">
        <v>0</v>
      </c>
      <c r="D141" s="161">
        <v>257.52999999999997</v>
      </c>
      <c r="E141" s="161">
        <v>0</v>
      </c>
      <c r="F141" s="161">
        <v>0</v>
      </c>
      <c r="G141" s="104">
        <f t="shared" si="12"/>
        <v>257.52999999999997</v>
      </c>
      <c r="H141" s="104">
        <v>0</v>
      </c>
      <c r="I141" s="104">
        <v>0</v>
      </c>
      <c r="J141" s="164">
        <f t="shared" si="13"/>
        <v>257.52999999999997</v>
      </c>
    </row>
    <row r="142" spans="1:10" ht="14.95" customHeight="1" x14ac:dyDescent="0.25">
      <c r="A142" s="119" t="s">
        <v>78</v>
      </c>
      <c r="B142" s="118"/>
      <c r="C142" s="104">
        <v>0</v>
      </c>
      <c r="D142" s="161">
        <v>412.23</v>
      </c>
      <c r="E142" s="161">
        <v>0</v>
      </c>
      <c r="F142" s="161">
        <v>0</v>
      </c>
      <c r="G142" s="104">
        <f t="shared" si="12"/>
        <v>412.23</v>
      </c>
      <c r="H142" s="104">
        <v>0</v>
      </c>
      <c r="I142" s="104">
        <v>0</v>
      </c>
      <c r="J142" s="164">
        <f t="shared" si="13"/>
        <v>412.23</v>
      </c>
    </row>
    <row r="143" spans="1:10" ht="14.95" customHeight="1" x14ac:dyDescent="0.25">
      <c r="A143" s="119" t="s">
        <v>79</v>
      </c>
      <c r="B143" s="118"/>
      <c r="C143" s="104">
        <v>0</v>
      </c>
      <c r="D143" s="161">
        <v>335.62</v>
      </c>
      <c r="E143" s="161">
        <v>0</v>
      </c>
      <c r="F143" s="161">
        <v>0</v>
      </c>
      <c r="G143" s="104">
        <f t="shared" si="12"/>
        <v>335.62</v>
      </c>
      <c r="H143" s="104">
        <v>0</v>
      </c>
      <c r="I143" s="104">
        <v>0</v>
      </c>
      <c r="J143" s="164">
        <f t="shared" si="13"/>
        <v>335.62</v>
      </c>
    </row>
    <row r="144" spans="1:10" ht="14.95" customHeight="1" x14ac:dyDescent="0.25">
      <c r="A144" s="119" t="s">
        <v>80</v>
      </c>
      <c r="B144" s="118"/>
      <c r="C144" s="104">
        <v>0</v>
      </c>
      <c r="D144" s="161">
        <v>273.38</v>
      </c>
      <c r="E144" s="161">
        <v>0</v>
      </c>
      <c r="F144" s="161">
        <v>0</v>
      </c>
      <c r="G144" s="104">
        <f t="shared" si="12"/>
        <v>273.38</v>
      </c>
      <c r="H144" s="104">
        <v>0</v>
      </c>
      <c r="I144" s="104">
        <v>0</v>
      </c>
      <c r="J144" s="164">
        <f t="shared" si="13"/>
        <v>273.38</v>
      </c>
    </row>
    <row r="145" spans="1:10" ht="14.95" customHeight="1" x14ac:dyDescent="0.25">
      <c r="A145" s="119" t="s">
        <v>81</v>
      </c>
      <c r="B145" s="118"/>
      <c r="C145" s="104">
        <v>0</v>
      </c>
      <c r="D145" s="161">
        <v>331.97</v>
      </c>
      <c r="E145" s="161">
        <v>0</v>
      </c>
      <c r="F145" s="161">
        <v>0</v>
      </c>
      <c r="G145" s="104">
        <f t="shared" si="12"/>
        <v>331.97</v>
      </c>
      <c r="H145" s="104">
        <v>0</v>
      </c>
      <c r="I145" s="104">
        <v>0</v>
      </c>
      <c r="J145" s="164">
        <f t="shared" si="13"/>
        <v>331.97</v>
      </c>
    </row>
    <row r="146" spans="1:10" ht="14.95" customHeight="1" x14ac:dyDescent="0.25">
      <c r="A146" s="119" t="s">
        <v>82</v>
      </c>
      <c r="B146" s="118"/>
      <c r="C146" s="104">
        <v>0</v>
      </c>
      <c r="D146" s="161">
        <v>413.6</v>
      </c>
      <c r="E146" s="161">
        <v>0</v>
      </c>
      <c r="F146" s="161">
        <v>0</v>
      </c>
      <c r="G146" s="104">
        <f t="shared" si="12"/>
        <v>413.6</v>
      </c>
      <c r="H146" s="104">
        <v>0</v>
      </c>
      <c r="I146" s="104">
        <v>0</v>
      </c>
      <c r="J146" s="164">
        <f t="shared" si="13"/>
        <v>413.6</v>
      </c>
    </row>
    <row r="147" spans="1:10" ht="14.95" customHeight="1" x14ac:dyDescent="0.25">
      <c r="A147" s="119" t="s">
        <v>83</v>
      </c>
      <c r="B147" s="118"/>
      <c r="C147" s="104">
        <v>0</v>
      </c>
      <c r="D147" s="161">
        <v>86.64</v>
      </c>
      <c r="E147" s="161">
        <v>0</v>
      </c>
      <c r="F147" s="161">
        <v>0</v>
      </c>
      <c r="G147" s="104">
        <f t="shared" si="12"/>
        <v>86.64</v>
      </c>
      <c r="H147" s="104">
        <v>0</v>
      </c>
      <c r="I147" s="104">
        <v>0</v>
      </c>
      <c r="J147" s="164">
        <f t="shared" si="13"/>
        <v>86.64</v>
      </c>
    </row>
    <row r="148" spans="1:10" ht="14.95" customHeight="1" x14ac:dyDescent="0.25">
      <c r="A148" s="119" t="s">
        <v>258</v>
      </c>
      <c r="B148" s="118"/>
      <c r="C148" s="104">
        <v>0</v>
      </c>
      <c r="D148" s="161">
        <v>19.38</v>
      </c>
      <c r="E148" s="161">
        <v>0</v>
      </c>
      <c r="F148" s="161">
        <v>0</v>
      </c>
      <c r="G148" s="104">
        <f t="shared" si="12"/>
        <v>19.38</v>
      </c>
      <c r="H148" s="104">
        <v>0</v>
      </c>
      <c r="I148" s="104">
        <v>0</v>
      </c>
      <c r="J148" s="164">
        <f t="shared" si="13"/>
        <v>19.38</v>
      </c>
    </row>
    <row r="149" spans="1:10" ht="14.95" customHeight="1" x14ac:dyDescent="0.25">
      <c r="A149" s="119" t="s">
        <v>84</v>
      </c>
      <c r="B149" s="118"/>
      <c r="C149" s="104">
        <v>0</v>
      </c>
      <c r="D149" s="161">
        <v>3.65</v>
      </c>
      <c r="E149" s="161">
        <v>0</v>
      </c>
      <c r="F149" s="161">
        <v>0</v>
      </c>
      <c r="G149" s="104">
        <f t="shared" si="12"/>
        <v>3.65</v>
      </c>
      <c r="H149" s="104">
        <v>0</v>
      </c>
      <c r="I149" s="104">
        <v>0</v>
      </c>
      <c r="J149" s="164">
        <f t="shared" si="13"/>
        <v>3.65</v>
      </c>
    </row>
    <row r="150" spans="1:10" ht="14.95" customHeight="1" x14ac:dyDescent="0.25">
      <c r="A150" s="165" t="s">
        <v>85</v>
      </c>
      <c r="B150" s="160"/>
      <c r="C150" s="87">
        <v>0</v>
      </c>
      <c r="D150" s="127">
        <v>175.91</v>
      </c>
      <c r="E150" s="127">
        <v>0</v>
      </c>
      <c r="F150" s="127">
        <v>0</v>
      </c>
      <c r="G150" s="87">
        <f t="shared" si="12"/>
        <v>175.91</v>
      </c>
      <c r="H150" s="87">
        <v>0</v>
      </c>
      <c r="I150" s="87">
        <v>0</v>
      </c>
      <c r="J150" s="163">
        <f t="shared" si="13"/>
        <v>175.91</v>
      </c>
    </row>
    <row r="151" spans="1:10" ht="14.95" customHeight="1" x14ac:dyDescent="0.25">
      <c r="A151" s="40" t="s">
        <v>86</v>
      </c>
      <c r="B151" s="160" t="s">
        <v>228</v>
      </c>
      <c r="C151" s="87">
        <v>400</v>
      </c>
      <c r="D151" s="87">
        <v>0</v>
      </c>
      <c r="E151" s="87">
        <v>0</v>
      </c>
      <c r="F151" s="87">
        <v>0</v>
      </c>
      <c r="G151" s="87">
        <f t="shared" si="12"/>
        <v>400</v>
      </c>
      <c r="H151" s="87">
        <v>0</v>
      </c>
      <c r="I151" s="87">
        <v>0</v>
      </c>
      <c r="J151" s="163">
        <f t="shared" si="13"/>
        <v>400</v>
      </c>
    </row>
    <row r="152" spans="1:10" ht="14.95" customHeight="1" x14ac:dyDescent="0.25">
      <c r="A152" s="41" t="s">
        <v>87</v>
      </c>
      <c r="B152" s="128" t="s">
        <v>228</v>
      </c>
      <c r="C152" s="8">
        <v>149.5</v>
      </c>
      <c r="D152" s="88">
        <v>0</v>
      </c>
      <c r="E152" s="88">
        <v>0</v>
      </c>
      <c r="F152" s="87">
        <v>0</v>
      </c>
      <c r="G152" s="87">
        <f t="shared" si="12"/>
        <v>149.5</v>
      </c>
      <c r="H152" s="87">
        <v>0</v>
      </c>
      <c r="I152" s="87">
        <v>0</v>
      </c>
      <c r="J152" s="163">
        <f t="shared" si="13"/>
        <v>149.5</v>
      </c>
    </row>
    <row r="153" spans="1:10" ht="14.95" customHeight="1" x14ac:dyDescent="0.25">
      <c r="A153" s="41" t="s">
        <v>88</v>
      </c>
      <c r="B153" s="35" t="s">
        <v>228</v>
      </c>
      <c r="C153" s="8">
        <v>1350</v>
      </c>
      <c r="D153" s="88">
        <v>0</v>
      </c>
      <c r="E153" s="88">
        <v>0</v>
      </c>
      <c r="F153" s="87">
        <v>0</v>
      </c>
      <c r="G153" s="87">
        <f t="shared" si="12"/>
        <v>1350</v>
      </c>
      <c r="H153" s="87">
        <v>0</v>
      </c>
      <c r="I153" s="8">
        <v>0</v>
      </c>
      <c r="J153" s="63">
        <f t="shared" si="13"/>
        <v>1350</v>
      </c>
    </row>
    <row r="154" spans="1:10" ht="14.95" customHeight="1" x14ac:dyDescent="0.25">
      <c r="A154" s="9" t="s">
        <v>89</v>
      </c>
      <c r="B154" s="35" t="s">
        <v>228</v>
      </c>
      <c r="C154" s="8">
        <v>1900</v>
      </c>
      <c r="D154" s="88">
        <v>0</v>
      </c>
      <c r="E154" s="10">
        <v>0</v>
      </c>
      <c r="F154" s="8">
        <v>0</v>
      </c>
      <c r="G154" s="127">
        <f t="shared" si="12"/>
        <v>1900</v>
      </c>
      <c r="H154" s="8">
        <v>0</v>
      </c>
      <c r="I154" s="8">
        <v>0</v>
      </c>
      <c r="J154" s="63">
        <f t="shared" si="13"/>
        <v>1900</v>
      </c>
    </row>
    <row r="155" spans="1:10" ht="14.95" customHeight="1" x14ac:dyDescent="0.25">
      <c r="A155" s="9" t="s">
        <v>90</v>
      </c>
      <c r="B155" s="35" t="s">
        <v>228</v>
      </c>
      <c r="C155" s="10">
        <v>1750</v>
      </c>
      <c r="D155" s="10">
        <v>0</v>
      </c>
      <c r="E155" s="10">
        <v>0</v>
      </c>
      <c r="F155" s="8">
        <v>0</v>
      </c>
      <c r="G155" s="127">
        <f t="shared" si="12"/>
        <v>1750</v>
      </c>
      <c r="H155" s="8">
        <v>0</v>
      </c>
      <c r="I155" s="8">
        <v>0</v>
      </c>
      <c r="J155" s="63">
        <f t="shared" si="13"/>
        <v>1750</v>
      </c>
    </row>
    <row r="156" spans="1:10" ht="27.7" customHeight="1" x14ac:dyDescent="0.25">
      <c r="A156" s="19" t="s">
        <v>253</v>
      </c>
      <c r="B156" s="35" t="s">
        <v>228</v>
      </c>
      <c r="C156" s="8">
        <v>420</v>
      </c>
      <c r="D156" s="61">
        <v>0</v>
      </c>
      <c r="E156" s="61">
        <v>0</v>
      </c>
      <c r="F156" s="62">
        <v>0</v>
      </c>
      <c r="G156" s="127">
        <f t="shared" si="12"/>
        <v>420</v>
      </c>
      <c r="H156" s="8">
        <v>0</v>
      </c>
      <c r="I156" s="8">
        <v>0</v>
      </c>
      <c r="J156" s="63">
        <f t="shared" si="13"/>
        <v>420</v>
      </c>
    </row>
    <row r="157" spans="1:10" ht="14.95" customHeight="1" x14ac:dyDescent="0.25">
      <c r="A157" s="9" t="s">
        <v>231</v>
      </c>
      <c r="B157" s="35" t="s">
        <v>228</v>
      </c>
      <c r="C157" s="8">
        <v>100</v>
      </c>
      <c r="D157" s="61">
        <v>0</v>
      </c>
      <c r="E157" s="61">
        <v>0</v>
      </c>
      <c r="F157" s="62">
        <v>0</v>
      </c>
      <c r="G157" s="127">
        <f t="shared" si="12"/>
        <v>100</v>
      </c>
      <c r="H157" s="8">
        <v>0</v>
      </c>
      <c r="I157" s="8">
        <v>0</v>
      </c>
      <c r="J157" s="63">
        <f t="shared" si="13"/>
        <v>100</v>
      </c>
    </row>
    <row r="158" spans="1:10" ht="14.95" customHeight="1" x14ac:dyDescent="0.25">
      <c r="A158" s="19" t="s">
        <v>233</v>
      </c>
      <c r="B158" s="35" t="s">
        <v>228</v>
      </c>
      <c r="C158" s="8">
        <v>560</v>
      </c>
      <c r="D158" s="61">
        <v>0</v>
      </c>
      <c r="E158" s="61">
        <v>0</v>
      </c>
      <c r="F158" s="62">
        <v>0</v>
      </c>
      <c r="G158" s="127">
        <f t="shared" si="12"/>
        <v>560</v>
      </c>
      <c r="H158" s="8">
        <v>0</v>
      </c>
      <c r="I158" s="8">
        <v>0</v>
      </c>
      <c r="J158" s="63">
        <f t="shared" si="13"/>
        <v>560</v>
      </c>
    </row>
    <row r="159" spans="1:10" ht="25.5" customHeight="1" x14ac:dyDescent="0.25">
      <c r="A159" s="19" t="s">
        <v>234</v>
      </c>
      <c r="B159" s="35" t="s">
        <v>228</v>
      </c>
      <c r="C159" s="8">
        <v>140</v>
      </c>
      <c r="D159" s="61">
        <v>0</v>
      </c>
      <c r="E159" s="61">
        <v>0</v>
      </c>
      <c r="F159" s="62">
        <v>0</v>
      </c>
      <c r="G159" s="127">
        <f t="shared" si="12"/>
        <v>140</v>
      </c>
      <c r="H159" s="8">
        <v>0</v>
      </c>
      <c r="I159" s="8">
        <v>0</v>
      </c>
      <c r="J159" s="63">
        <f t="shared" si="13"/>
        <v>140</v>
      </c>
    </row>
    <row r="160" spans="1:10" ht="14.95" customHeight="1" x14ac:dyDescent="0.25">
      <c r="A160" s="9" t="s">
        <v>91</v>
      </c>
      <c r="B160" s="35" t="s">
        <v>228</v>
      </c>
      <c r="C160" s="8">
        <v>50</v>
      </c>
      <c r="D160" s="10">
        <v>0</v>
      </c>
      <c r="E160" s="10">
        <v>0</v>
      </c>
      <c r="F160" s="8">
        <v>0</v>
      </c>
      <c r="G160" s="127">
        <f t="shared" si="12"/>
        <v>50</v>
      </c>
      <c r="H160" s="8">
        <v>0</v>
      </c>
      <c r="I160" s="8">
        <v>0</v>
      </c>
      <c r="J160" s="63">
        <f t="shared" si="13"/>
        <v>50</v>
      </c>
    </row>
    <row r="161" spans="1:10" ht="26.35" customHeight="1" x14ac:dyDescent="0.25">
      <c r="A161" s="9" t="s">
        <v>92</v>
      </c>
      <c r="B161" s="35" t="s">
        <v>228</v>
      </c>
      <c r="C161" s="8">
        <v>2000</v>
      </c>
      <c r="D161" s="10">
        <v>0</v>
      </c>
      <c r="E161" s="10">
        <v>0</v>
      </c>
      <c r="F161" s="8">
        <v>0</v>
      </c>
      <c r="G161" s="127">
        <f t="shared" si="12"/>
        <v>2000</v>
      </c>
      <c r="H161" s="8">
        <v>0</v>
      </c>
      <c r="I161" s="8">
        <v>0</v>
      </c>
      <c r="J161" s="63">
        <f t="shared" si="13"/>
        <v>2000</v>
      </c>
    </row>
    <row r="162" spans="1:10" ht="14.95" customHeight="1" x14ac:dyDescent="0.25">
      <c r="A162" s="9" t="s">
        <v>232</v>
      </c>
      <c r="B162" s="35" t="s">
        <v>228</v>
      </c>
      <c r="C162" s="8">
        <v>1000</v>
      </c>
      <c r="D162" s="61">
        <v>0</v>
      </c>
      <c r="E162" s="61">
        <v>0</v>
      </c>
      <c r="F162" s="62">
        <v>0</v>
      </c>
      <c r="G162" s="127">
        <f t="shared" si="12"/>
        <v>1000</v>
      </c>
      <c r="H162" s="8">
        <v>0</v>
      </c>
      <c r="I162" s="8">
        <v>0</v>
      </c>
      <c r="J162" s="63">
        <f t="shared" si="13"/>
        <v>1000</v>
      </c>
    </row>
    <row r="163" spans="1:10" ht="14.95" customHeight="1" x14ac:dyDescent="0.25">
      <c r="A163" s="9" t="s">
        <v>93</v>
      </c>
      <c r="B163" s="35" t="s">
        <v>228</v>
      </c>
      <c r="C163" s="8">
        <v>2400</v>
      </c>
      <c r="D163" s="10">
        <v>0</v>
      </c>
      <c r="E163" s="10">
        <v>0</v>
      </c>
      <c r="F163" s="8">
        <v>0</v>
      </c>
      <c r="G163" s="127">
        <f t="shared" si="12"/>
        <v>2400</v>
      </c>
      <c r="H163" s="8">
        <v>0</v>
      </c>
      <c r="I163" s="8">
        <v>0</v>
      </c>
      <c r="J163" s="63">
        <f t="shared" si="13"/>
        <v>2400</v>
      </c>
    </row>
    <row r="164" spans="1:10" ht="14.95" customHeight="1" x14ac:dyDescent="0.25">
      <c r="A164" s="42" t="s">
        <v>103</v>
      </c>
      <c r="B164" s="35" t="s">
        <v>228</v>
      </c>
      <c r="C164" s="8">
        <v>2400</v>
      </c>
      <c r="D164" s="10">
        <v>0</v>
      </c>
      <c r="E164" s="10">
        <v>0</v>
      </c>
      <c r="F164" s="8">
        <v>0</v>
      </c>
      <c r="G164" s="127">
        <f t="shared" si="12"/>
        <v>2400</v>
      </c>
      <c r="H164" s="8">
        <v>0</v>
      </c>
      <c r="I164" s="8">
        <v>0</v>
      </c>
      <c r="J164" s="63">
        <f t="shared" si="13"/>
        <v>2400</v>
      </c>
    </row>
    <row r="165" spans="1:10" ht="26.5" customHeight="1" x14ac:dyDescent="0.25">
      <c r="A165" s="9" t="s">
        <v>94</v>
      </c>
      <c r="B165" s="35" t="s">
        <v>228</v>
      </c>
      <c r="C165" s="8">
        <v>85</v>
      </c>
      <c r="D165" s="10">
        <v>0</v>
      </c>
      <c r="E165" s="10">
        <v>0</v>
      </c>
      <c r="F165" s="8">
        <v>0</v>
      </c>
      <c r="G165" s="127">
        <f t="shared" si="12"/>
        <v>85</v>
      </c>
      <c r="H165" s="8">
        <v>0</v>
      </c>
      <c r="I165" s="8">
        <v>0</v>
      </c>
      <c r="J165" s="63">
        <f t="shared" si="13"/>
        <v>85</v>
      </c>
    </row>
    <row r="166" spans="1:10" ht="14.95" customHeight="1" x14ac:dyDescent="0.25">
      <c r="A166" s="9" t="s">
        <v>95</v>
      </c>
      <c r="B166" s="35" t="s">
        <v>228</v>
      </c>
      <c r="C166" s="8">
        <v>80</v>
      </c>
      <c r="D166" s="10">
        <v>0</v>
      </c>
      <c r="E166" s="10">
        <v>0</v>
      </c>
      <c r="F166" s="8">
        <v>0</v>
      </c>
      <c r="G166" s="127">
        <f t="shared" si="12"/>
        <v>80</v>
      </c>
      <c r="H166" s="8">
        <v>0</v>
      </c>
      <c r="I166" s="8">
        <v>0</v>
      </c>
      <c r="J166" s="63">
        <f t="shared" si="13"/>
        <v>80</v>
      </c>
    </row>
    <row r="167" spans="1:10" ht="14.95" customHeight="1" x14ac:dyDescent="0.25">
      <c r="A167" s="9" t="s">
        <v>96</v>
      </c>
      <c r="B167" s="35" t="s">
        <v>228</v>
      </c>
      <c r="C167" s="8">
        <v>2400</v>
      </c>
      <c r="D167" s="10">
        <v>0</v>
      </c>
      <c r="E167" s="10">
        <v>0</v>
      </c>
      <c r="F167" s="8">
        <v>0</v>
      </c>
      <c r="G167" s="127">
        <f t="shared" si="12"/>
        <v>2400</v>
      </c>
      <c r="H167" s="8">
        <v>0</v>
      </c>
      <c r="I167" s="8">
        <v>0</v>
      </c>
      <c r="J167" s="63">
        <f t="shared" si="13"/>
        <v>2400</v>
      </c>
    </row>
    <row r="168" spans="1:10" ht="14.95" customHeight="1" x14ac:dyDescent="0.25">
      <c r="A168" s="9" t="s">
        <v>97</v>
      </c>
      <c r="B168" s="35" t="s">
        <v>228</v>
      </c>
      <c r="C168" s="8">
        <v>2400</v>
      </c>
      <c r="D168" s="10">
        <v>0</v>
      </c>
      <c r="E168" s="10">
        <v>0</v>
      </c>
      <c r="F168" s="8">
        <v>0</v>
      </c>
      <c r="G168" s="127">
        <f t="shared" si="12"/>
        <v>2400</v>
      </c>
      <c r="H168" s="8">
        <v>0</v>
      </c>
      <c r="I168" s="8">
        <v>0</v>
      </c>
      <c r="J168" s="63">
        <f t="shared" si="13"/>
        <v>2400</v>
      </c>
    </row>
    <row r="169" spans="1:10" ht="25.15" customHeight="1" x14ac:dyDescent="0.25">
      <c r="A169" s="9" t="s">
        <v>268</v>
      </c>
      <c r="B169" s="35" t="s">
        <v>228</v>
      </c>
      <c r="C169" s="8">
        <v>0</v>
      </c>
      <c r="D169" s="10">
        <f>40</f>
        <v>40</v>
      </c>
      <c r="E169" s="10">
        <v>0</v>
      </c>
      <c r="F169" s="8">
        <v>0</v>
      </c>
      <c r="G169" s="127">
        <f t="shared" si="12"/>
        <v>40</v>
      </c>
      <c r="H169" s="8">
        <v>0</v>
      </c>
      <c r="I169" s="8">
        <v>0</v>
      </c>
      <c r="J169" s="63">
        <f t="shared" si="13"/>
        <v>40</v>
      </c>
    </row>
    <row r="170" spans="1:10" ht="14.95" customHeight="1" x14ac:dyDescent="0.25">
      <c r="A170" s="9" t="s">
        <v>262</v>
      </c>
      <c r="B170" s="35" t="s">
        <v>228</v>
      </c>
      <c r="C170" s="8">
        <v>0</v>
      </c>
      <c r="D170" s="10">
        <f>16</f>
        <v>16</v>
      </c>
      <c r="E170" s="10">
        <v>0</v>
      </c>
      <c r="F170" s="8">
        <v>0</v>
      </c>
      <c r="G170" s="127">
        <f t="shared" si="12"/>
        <v>16</v>
      </c>
      <c r="H170" s="8">
        <v>0</v>
      </c>
      <c r="I170" s="8">
        <v>0</v>
      </c>
      <c r="J170" s="63">
        <f t="shared" si="13"/>
        <v>16</v>
      </c>
    </row>
    <row r="171" spans="1:10" ht="14.95" customHeight="1" x14ac:dyDescent="0.25">
      <c r="A171" s="9" t="s">
        <v>263</v>
      </c>
      <c r="B171" s="35" t="s">
        <v>228</v>
      </c>
      <c r="C171" s="8">
        <v>0</v>
      </c>
      <c r="D171" s="10">
        <f>20</f>
        <v>20</v>
      </c>
      <c r="E171" s="10">
        <v>0</v>
      </c>
      <c r="F171" s="8">
        <v>0</v>
      </c>
      <c r="G171" s="127">
        <f t="shared" si="12"/>
        <v>20</v>
      </c>
      <c r="H171" s="8">
        <v>0</v>
      </c>
      <c r="I171" s="8">
        <v>0</v>
      </c>
      <c r="J171" s="63">
        <f t="shared" si="13"/>
        <v>20</v>
      </c>
    </row>
    <row r="172" spans="1:10" ht="14.95" customHeight="1" x14ac:dyDescent="0.25">
      <c r="A172" s="9" t="s">
        <v>264</v>
      </c>
      <c r="B172" s="35" t="s">
        <v>228</v>
      </c>
      <c r="C172" s="8">
        <v>0</v>
      </c>
      <c r="D172" s="10">
        <f>5</f>
        <v>5</v>
      </c>
      <c r="E172" s="10">
        <v>0</v>
      </c>
      <c r="F172" s="8">
        <v>0</v>
      </c>
      <c r="G172" s="127">
        <f t="shared" ref="G172:G238" si="14">SUM(C172:F172)</f>
        <v>5</v>
      </c>
      <c r="H172" s="8">
        <v>0</v>
      </c>
      <c r="I172" s="8">
        <v>0</v>
      </c>
      <c r="J172" s="63">
        <f t="shared" si="13"/>
        <v>5</v>
      </c>
    </row>
    <row r="173" spans="1:10" ht="14.95" customHeight="1" x14ac:dyDescent="0.25">
      <c r="A173" s="9" t="s">
        <v>98</v>
      </c>
      <c r="B173" s="35" t="s">
        <v>228</v>
      </c>
      <c r="C173" s="8">
        <v>500</v>
      </c>
      <c r="D173" s="10">
        <v>0</v>
      </c>
      <c r="E173" s="10">
        <v>0</v>
      </c>
      <c r="F173" s="8">
        <v>0</v>
      </c>
      <c r="G173" s="127">
        <f t="shared" si="14"/>
        <v>500</v>
      </c>
      <c r="H173" s="8">
        <v>0</v>
      </c>
      <c r="I173" s="8">
        <v>0</v>
      </c>
      <c r="J173" s="63">
        <f t="shared" si="13"/>
        <v>500</v>
      </c>
    </row>
    <row r="174" spans="1:10" ht="14.95" customHeight="1" x14ac:dyDescent="0.25">
      <c r="A174" s="9" t="s">
        <v>99</v>
      </c>
      <c r="B174" s="35" t="s">
        <v>228</v>
      </c>
      <c r="C174" s="8">
        <v>250</v>
      </c>
      <c r="D174" s="10">
        <v>0</v>
      </c>
      <c r="E174" s="10">
        <v>0</v>
      </c>
      <c r="F174" s="8">
        <v>0</v>
      </c>
      <c r="G174" s="127">
        <f t="shared" si="14"/>
        <v>250</v>
      </c>
      <c r="H174" s="8">
        <v>0</v>
      </c>
      <c r="I174" s="8">
        <v>0</v>
      </c>
      <c r="J174" s="63">
        <f t="shared" si="13"/>
        <v>250</v>
      </c>
    </row>
    <row r="175" spans="1:10" ht="27.7" customHeight="1" x14ac:dyDescent="0.25">
      <c r="A175" s="9" t="s">
        <v>267</v>
      </c>
      <c r="B175" s="35" t="s">
        <v>228</v>
      </c>
      <c r="C175" s="8">
        <v>0</v>
      </c>
      <c r="D175" s="10">
        <f>10</f>
        <v>10</v>
      </c>
      <c r="E175" s="10">
        <v>0</v>
      </c>
      <c r="F175" s="8">
        <v>0</v>
      </c>
      <c r="G175" s="127">
        <f t="shared" si="14"/>
        <v>10</v>
      </c>
      <c r="H175" s="8">
        <v>0</v>
      </c>
      <c r="I175" s="8">
        <v>0</v>
      </c>
      <c r="J175" s="63">
        <f t="shared" si="13"/>
        <v>10</v>
      </c>
    </row>
    <row r="176" spans="1:10" ht="27.7" customHeight="1" x14ac:dyDescent="0.25">
      <c r="A176" s="9" t="s">
        <v>266</v>
      </c>
      <c r="B176" s="35" t="s">
        <v>228</v>
      </c>
      <c r="C176" s="8">
        <v>0</v>
      </c>
      <c r="D176" s="10">
        <f>10</f>
        <v>10</v>
      </c>
      <c r="E176" s="10">
        <v>0</v>
      </c>
      <c r="F176" s="8">
        <v>0</v>
      </c>
      <c r="G176" s="127">
        <f t="shared" si="14"/>
        <v>10</v>
      </c>
      <c r="H176" s="8">
        <v>0</v>
      </c>
      <c r="I176" s="8">
        <v>0</v>
      </c>
      <c r="J176" s="63">
        <f t="shared" si="13"/>
        <v>10</v>
      </c>
    </row>
    <row r="177" spans="1:11" ht="14.95" customHeight="1" x14ac:dyDescent="0.25">
      <c r="A177" s="36" t="s">
        <v>100</v>
      </c>
      <c r="B177" s="35" t="s">
        <v>228</v>
      </c>
      <c r="C177" s="8">
        <v>600</v>
      </c>
      <c r="D177" s="10">
        <v>0</v>
      </c>
      <c r="E177" s="10">
        <v>0</v>
      </c>
      <c r="F177" s="8">
        <v>0</v>
      </c>
      <c r="G177" s="127">
        <f t="shared" si="14"/>
        <v>600</v>
      </c>
      <c r="H177" s="8">
        <v>0</v>
      </c>
      <c r="I177" s="8">
        <v>0</v>
      </c>
      <c r="J177" s="63">
        <f t="shared" si="13"/>
        <v>600</v>
      </c>
    </row>
    <row r="178" spans="1:11" ht="14.95" customHeight="1" x14ac:dyDescent="0.25">
      <c r="A178" s="36" t="s">
        <v>101</v>
      </c>
      <c r="B178" s="35" t="s">
        <v>228</v>
      </c>
      <c r="C178" s="8">
        <v>50</v>
      </c>
      <c r="D178" s="10">
        <v>0</v>
      </c>
      <c r="E178" s="10">
        <v>0</v>
      </c>
      <c r="F178" s="8">
        <v>0</v>
      </c>
      <c r="G178" s="127">
        <f t="shared" si="14"/>
        <v>50</v>
      </c>
      <c r="H178" s="8">
        <v>0</v>
      </c>
      <c r="I178" s="8">
        <v>0</v>
      </c>
      <c r="J178" s="63">
        <f t="shared" si="13"/>
        <v>50</v>
      </c>
    </row>
    <row r="179" spans="1:11" ht="14.95" customHeight="1" x14ac:dyDescent="0.25">
      <c r="A179" s="36" t="s">
        <v>265</v>
      </c>
      <c r="B179" s="35" t="s">
        <v>228</v>
      </c>
      <c r="C179" s="8">
        <v>0</v>
      </c>
      <c r="D179" s="10">
        <f>6.5</f>
        <v>6.5</v>
      </c>
      <c r="E179" s="10">
        <v>0</v>
      </c>
      <c r="F179" s="8">
        <v>0</v>
      </c>
      <c r="G179" s="127">
        <f t="shared" si="14"/>
        <v>6.5</v>
      </c>
      <c r="H179" s="8">
        <v>0</v>
      </c>
      <c r="I179" s="8">
        <v>0</v>
      </c>
      <c r="J179" s="63">
        <f t="shared" si="13"/>
        <v>6.5</v>
      </c>
    </row>
    <row r="180" spans="1:11" ht="14.95" customHeight="1" x14ac:dyDescent="0.25">
      <c r="A180" s="9" t="s">
        <v>102</v>
      </c>
      <c r="B180" s="35" t="s">
        <v>228</v>
      </c>
      <c r="C180" s="8">
        <v>650</v>
      </c>
      <c r="D180" s="10">
        <v>0</v>
      </c>
      <c r="E180" s="10">
        <v>0</v>
      </c>
      <c r="F180" s="8">
        <v>0</v>
      </c>
      <c r="G180" s="127">
        <f t="shared" si="14"/>
        <v>650</v>
      </c>
      <c r="H180" s="8">
        <v>0</v>
      </c>
      <c r="I180" s="8">
        <v>0</v>
      </c>
      <c r="J180" s="63">
        <f t="shared" si="13"/>
        <v>650</v>
      </c>
    </row>
    <row r="181" spans="1:11" ht="14.95" customHeight="1" thickBot="1" x14ac:dyDescent="0.3">
      <c r="A181" s="37" t="s">
        <v>104</v>
      </c>
      <c r="B181" s="27"/>
      <c r="C181" s="12">
        <v>25179</v>
      </c>
      <c r="D181" s="12">
        <f>-130-107.5</f>
        <v>-237.5</v>
      </c>
      <c r="E181" s="12">
        <v>-4120.04</v>
      </c>
      <c r="F181" s="12">
        <f>67.31+27.5-35-738.84</f>
        <v>-679.03</v>
      </c>
      <c r="G181" s="140">
        <f>SUM(C181:F181)-102.35</f>
        <v>20040.080000000002</v>
      </c>
      <c r="H181" s="12">
        <v>1388</v>
      </c>
      <c r="I181" s="12">
        <v>0</v>
      </c>
      <c r="J181" s="78">
        <f t="shared" si="13"/>
        <v>21428.080000000002</v>
      </c>
    </row>
    <row r="182" spans="1:11" ht="15.65" customHeight="1" thickBot="1" x14ac:dyDescent="0.3">
      <c r="A182" s="38" t="s">
        <v>105</v>
      </c>
      <c r="B182" s="32"/>
      <c r="C182" s="24">
        <f t="shared" ref="C182:I182" si="15">SUM(C184:C193)</f>
        <v>345485</v>
      </c>
      <c r="D182" s="24">
        <f t="shared" si="15"/>
        <v>63.6</v>
      </c>
      <c r="E182" s="24">
        <f t="shared" si="15"/>
        <v>12032</v>
      </c>
      <c r="F182" s="24">
        <f t="shared" si="15"/>
        <v>9426.0499999999993</v>
      </c>
      <c r="G182" s="139">
        <f t="shared" si="15"/>
        <v>366896.44</v>
      </c>
      <c r="H182" s="24">
        <f t="shared" si="15"/>
        <v>5424.84</v>
      </c>
      <c r="I182" s="24">
        <f t="shared" si="15"/>
        <v>0</v>
      </c>
      <c r="J182" s="116">
        <f t="shared" si="13"/>
        <v>372321.28000000003</v>
      </c>
      <c r="K182" s="145"/>
    </row>
    <row r="183" spans="1:11" ht="14.95" customHeight="1" x14ac:dyDescent="0.25">
      <c r="A183" s="39" t="s">
        <v>25</v>
      </c>
      <c r="B183" s="29"/>
      <c r="C183" s="8"/>
      <c r="D183" s="8"/>
      <c r="E183" s="8"/>
      <c r="F183" s="8"/>
      <c r="G183" s="127"/>
      <c r="H183" s="8"/>
      <c r="I183" s="8"/>
      <c r="J183" s="63"/>
    </row>
    <row r="184" spans="1:11" ht="14.95" customHeight="1" x14ac:dyDescent="0.25">
      <c r="A184" s="36" t="s">
        <v>27</v>
      </c>
      <c r="B184" s="31"/>
      <c r="C184" s="8">
        <v>83462</v>
      </c>
      <c r="D184" s="10">
        <f>2.6</f>
        <v>2.6</v>
      </c>
      <c r="E184" s="10">
        <v>6410</v>
      </c>
      <c r="F184" s="10">
        <f>2.6+45.11+4180</f>
        <v>4227.71</v>
      </c>
      <c r="G184" s="127">
        <f>SUM(C184:F184)-110.21</f>
        <v>93992.1</v>
      </c>
      <c r="H184" s="8">
        <v>1543</v>
      </c>
      <c r="I184" s="8">
        <v>0</v>
      </c>
      <c r="J184" s="63">
        <f t="shared" si="13"/>
        <v>95535.1</v>
      </c>
    </row>
    <row r="185" spans="1:11" ht="14.95" customHeight="1" x14ac:dyDescent="0.25">
      <c r="A185" s="36" t="s">
        <v>221</v>
      </c>
      <c r="B185" s="35" t="s">
        <v>228</v>
      </c>
      <c r="C185" s="8">
        <v>140800</v>
      </c>
      <c r="D185" s="10">
        <v>0</v>
      </c>
      <c r="E185" s="10">
        <v>6000</v>
      </c>
      <c r="F185" s="10">
        <v>0</v>
      </c>
      <c r="G185" s="127">
        <f t="shared" si="14"/>
        <v>146800</v>
      </c>
      <c r="H185" s="8">
        <v>0</v>
      </c>
      <c r="I185" s="8">
        <v>0</v>
      </c>
      <c r="J185" s="63">
        <f t="shared" si="13"/>
        <v>146800</v>
      </c>
    </row>
    <row r="186" spans="1:11" ht="14.95" customHeight="1" x14ac:dyDescent="0.25">
      <c r="A186" s="36" t="s">
        <v>222</v>
      </c>
      <c r="B186" s="35" t="s">
        <v>228</v>
      </c>
      <c r="C186" s="8">
        <v>27000</v>
      </c>
      <c r="D186" s="10">
        <v>0</v>
      </c>
      <c r="E186" s="10">
        <v>0</v>
      </c>
      <c r="F186" s="10">
        <f>1965.34</f>
        <v>1965.34</v>
      </c>
      <c r="G186" s="127">
        <f t="shared" si="14"/>
        <v>28965.34</v>
      </c>
      <c r="H186" s="8">
        <v>0</v>
      </c>
      <c r="I186" s="8">
        <v>0</v>
      </c>
      <c r="J186" s="63">
        <f t="shared" si="13"/>
        <v>28965.34</v>
      </c>
    </row>
    <row r="187" spans="1:11" ht="14.95" customHeight="1" x14ac:dyDescent="0.25">
      <c r="A187" s="36" t="s">
        <v>106</v>
      </c>
      <c r="B187" s="35" t="s">
        <v>228</v>
      </c>
      <c r="C187" s="8">
        <v>233</v>
      </c>
      <c r="D187" s="10">
        <v>0</v>
      </c>
      <c r="E187" s="10">
        <v>0</v>
      </c>
      <c r="F187" s="10">
        <v>0</v>
      </c>
      <c r="G187" s="127">
        <f t="shared" si="14"/>
        <v>233</v>
      </c>
      <c r="H187" s="8">
        <v>0</v>
      </c>
      <c r="I187" s="8">
        <v>0</v>
      </c>
      <c r="J187" s="63">
        <f t="shared" si="13"/>
        <v>233</v>
      </c>
    </row>
    <row r="188" spans="1:11" ht="14.95" customHeight="1" x14ac:dyDescent="0.25">
      <c r="A188" s="36" t="s">
        <v>107</v>
      </c>
      <c r="B188" s="35" t="s">
        <v>228</v>
      </c>
      <c r="C188" s="8">
        <v>194</v>
      </c>
      <c r="D188" s="10">
        <v>0</v>
      </c>
      <c r="E188" s="10">
        <v>0</v>
      </c>
      <c r="F188" s="10">
        <v>0</v>
      </c>
      <c r="G188" s="127">
        <f t="shared" si="14"/>
        <v>194</v>
      </c>
      <c r="H188" s="8">
        <v>0</v>
      </c>
      <c r="I188" s="8">
        <v>0</v>
      </c>
      <c r="J188" s="63">
        <f t="shared" si="13"/>
        <v>194</v>
      </c>
    </row>
    <row r="189" spans="1:11" ht="14.95" customHeight="1" x14ac:dyDescent="0.25">
      <c r="A189" s="36" t="s">
        <v>108</v>
      </c>
      <c r="B189" s="35" t="s">
        <v>228</v>
      </c>
      <c r="C189" s="8">
        <v>1072</v>
      </c>
      <c r="D189" s="10">
        <v>0</v>
      </c>
      <c r="E189" s="10">
        <v>0</v>
      </c>
      <c r="F189" s="10">
        <v>0</v>
      </c>
      <c r="G189" s="127">
        <f t="shared" si="14"/>
        <v>1072</v>
      </c>
      <c r="H189" s="8">
        <v>0</v>
      </c>
      <c r="I189" s="8">
        <v>0</v>
      </c>
      <c r="J189" s="63">
        <f t="shared" si="13"/>
        <v>1072</v>
      </c>
    </row>
    <row r="190" spans="1:11" ht="14.95" customHeight="1" x14ac:dyDescent="0.25">
      <c r="A190" s="36" t="s">
        <v>109</v>
      </c>
      <c r="B190" s="35" t="s">
        <v>228</v>
      </c>
      <c r="C190" s="8">
        <v>284</v>
      </c>
      <c r="D190" s="10">
        <v>0</v>
      </c>
      <c r="E190" s="10">
        <v>0</v>
      </c>
      <c r="F190" s="10">
        <v>0</v>
      </c>
      <c r="G190" s="127">
        <f t="shared" si="14"/>
        <v>284</v>
      </c>
      <c r="H190" s="8">
        <v>0</v>
      </c>
      <c r="I190" s="8">
        <v>0</v>
      </c>
      <c r="J190" s="63">
        <f t="shared" si="13"/>
        <v>284</v>
      </c>
    </row>
    <row r="191" spans="1:11" ht="25.15" customHeight="1" x14ac:dyDescent="0.25">
      <c r="A191" s="9" t="s">
        <v>110</v>
      </c>
      <c r="B191" s="35" t="s">
        <v>228</v>
      </c>
      <c r="C191" s="8">
        <v>154</v>
      </c>
      <c r="D191" s="10">
        <v>0</v>
      </c>
      <c r="E191" s="10">
        <v>0</v>
      </c>
      <c r="F191" s="10">
        <v>0</v>
      </c>
      <c r="G191" s="127">
        <f t="shared" si="14"/>
        <v>154</v>
      </c>
      <c r="H191" s="8">
        <v>0</v>
      </c>
      <c r="I191" s="8">
        <v>0</v>
      </c>
      <c r="J191" s="63">
        <f t="shared" si="13"/>
        <v>154</v>
      </c>
    </row>
    <row r="192" spans="1:11" ht="26.35" customHeight="1" x14ac:dyDescent="0.25">
      <c r="A192" s="9" t="s">
        <v>237</v>
      </c>
      <c r="B192" s="35" t="s">
        <v>157</v>
      </c>
      <c r="C192" s="8">
        <v>2450</v>
      </c>
      <c r="D192" s="10">
        <v>0</v>
      </c>
      <c r="E192" s="10">
        <v>-930</v>
      </c>
      <c r="F192" s="10">
        <v>0</v>
      </c>
      <c r="G192" s="127">
        <f t="shared" si="14"/>
        <v>1520</v>
      </c>
      <c r="H192" s="8">
        <v>0</v>
      </c>
      <c r="I192" s="8">
        <v>0</v>
      </c>
      <c r="J192" s="63">
        <f t="shared" si="13"/>
        <v>1520</v>
      </c>
    </row>
    <row r="193" spans="1:11" ht="14.95" customHeight="1" thickBot="1" x14ac:dyDescent="0.3">
      <c r="A193" s="11" t="s">
        <v>111</v>
      </c>
      <c r="B193" s="27"/>
      <c r="C193" s="12">
        <v>89836</v>
      </c>
      <c r="D193" s="12">
        <f>61</f>
        <v>61</v>
      </c>
      <c r="E193" s="12">
        <v>552</v>
      </c>
      <c r="F193" s="12">
        <f>33+3200</f>
        <v>3233</v>
      </c>
      <c r="G193" s="161">
        <f t="shared" si="14"/>
        <v>93682</v>
      </c>
      <c r="H193" s="15">
        <v>3881.84</v>
      </c>
      <c r="I193" s="15">
        <v>0</v>
      </c>
      <c r="J193" s="78">
        <f t="shared" si="13"/>
        <v>97563.839999999997</v>
      </c>
    </row>
    <row r="194" spans="1:11" ht="15.65" customHeight="1" thickBot="1" x14ac:dyDescent="0.3">
      <c r="A194" s="38" t="s">
        <v>112</v>
      </c>
      <c r="B194" s="32"/>
      <c r="C194" s="24">
        <f t="shared" ref="C194:I194" si="16">SUM(C196:C202)</f>
        <v>158463</v>
      </c>
      <c r="D194" s="24">
        <f t="shared" si="16"/>
        <v>0</v>
      </c>
      <c r="E194" s="24">
        <f t="shared" si="16"/>
        <v>4210</v>
      </c>
      <c r="F194" s="24">
        <f t="shared" si="16"/>
        <v>524.67000000000007</v>
      </c>
      <c r="G194" s="139">
        <f t="shared" si="16"/>
        <v>163197.67000000001</v>
      </c>
      <c r="H194" s="24">
        <f t="shared" si="16"/>
        <v>0</v>
      </c>
      <c r="I194" s="24">
        <f t="shared" si="16"/>
        <v>0</v>
      </c>
      <c r="J194" s="116">
        <f t="shared" si="13"/>
        <v>163197.67000000001</v>
      </c>
      <c r="K194" s="145"/>
    </row>
    <row r="195" spans="1:11" ht="14.95" customHeight="1" x14ac:dyDescent="0.25">
      <c r="A195" s="39" t="s">
        <v>25</v>
      </c>
      <c r="B195" s="29"/>
      <c r="C195" s="8"/>
      <c r="D195" s="8"/>
      <c r="E195" s="8"/>
      <c r="F195" s="8"/>
      <c r="G195" s="127"/>
      <c r="H195" s="8"/>
      <c r="I195" s="8"/>
      <c r="J195" s="63"/>
    </row>
    <row r="196" spans="1:11" ht="14.95" customHeight="1" x14ac:dyDescent="0.25">
      <c r="A196" s="36" t="s">
        <v>27</v>
      </c>
      <c r="B196" s="31"/>
      <c r="C196" s="8">
        <v>4240</v>
      </c>
      <c r="D196" s="10">
        <v>0</v>
      </c>
      <c r="E196" s="10">
        <v>0</v>
      </c>
      <c r="F196" s="10">
        <f>522.2</f>
        <v>522.20000000000005</v>
      </c>
      <c r="G196" s="127">
        <f t="shared" si="14"/>
        <v>4762.2</v>
      </c>
      <c r="H196" s="8">
        <v>0</v>
      </c>
      <c r="I196" s="8">
        <v>0</v>
      </c>
      <c r="J196" s="63">
        <f t="shared" si="13"/>
        <v>4762.2</v>
      </c>
    </row>
    <row r="197" spans="1:11" ht="27.7" customHeight="1" x14ac:dyDescent="0.25">
      <c r="A197" s="9" t="s">
        <v>113</v>
      </c>
      <c r="B197" s="35" t="s">
        <v>114</v>
      </c>
      <c r="C197" s="8">
        <v>300</v>
      </c>
      <c r="D197" s="10">
        <v>0</v>
      </c>
      <c r="E197" s="10">
        <v>0</v>
      </c>
      <c r="F197" s="10">
        <v>0</v>
      </c>
      <c r="G197" s="127">
        <f t="shared" si="14"/>
        <v>300</v>
      </c>
      <c r="H197" s="8">
        <v>0</v>
      </c>
      <c r="I197" s="8">
        <v>0</v>
      </c>
      <c r="J197" s="63">
        <f t="shared" si="13"/>
        <v>300</v>
      </c>
    </row>
    <row r="198" spans="1:11" ht="14.95" customHeight="1" x14ac:dyDescent="0.25">
      <c r="A198" s="9" t="s">
        <v>235</v>
      </c>
      <c r="B198" s="35" t="s">
        <v>236</v>
      </c>
      <c r="C198" s="8">
        <v>250</v>
      </c>
      <c r="D198" s="10">
        <v>0</v>
      </c>
      <c r="E198" s="10">
        <v>0</v>
      </c>
      <c r="F198" s="10">
        <v>0</v>
      </c>
      <c r="G198" s="127">
        <f t="shared" si="14"/>
        <v>250</v>
      </c>
      <c r="H198" s="8">
        <v>0</v>
      </c>
      <c r="I198" s="8">
        <v>0</v>
      </c>
      <c r="J198" s="63">
        <f t="shared" ref="J198:J261" si="17">SUM(G198:I198)</f>
        <v>250</v>
      </c>
    </row>
    <row r="199" spans="1:11" ht="14.95" customHeight="1" x14ac:dyDescent="0.25">
      <c r="A199" s="36" t="s">
        <v>115</v>
      </c>
      <c r="B199" s="43"/>
      <c r="C199" s="8">
        <v>10</v>
      </c>
      <c r="D199" s="10">
        <v>0</v>
      </c>
      <c r="E199" s="10">
        <v>0</v>
      </c>
      <c r="F199" s="10">
        <v>0</v>
      </c>
      <c r="G199" s="127">
        <f t="shared" si="14"/>
        <v>10</v>
      </c>
      <c r="H199" s="8">
        <v>0</v>
      </c>
      <c r="I199" s="8">
        <v>0</v>
      </c>
      <c r="J199" s="63">
        <f t="shared" si="17"/>
        <v>10</v>
      </c>
    </row>
    <row r="200" spans="1:11" ht="14.95" customHeight="1" x14ac:dyDescent="0.25">
      <c r="A200" s="36" t="s">
        <v>116</v>
      </c>
      <c r="B200" s="60" t="s">
        <v>256</v>
      </c>
      <c r="C200" s="8">
        <v>180</v>
      </c>
      <c r="D200" s="10">
        <v>0</v>
      </c>
      <c r="E200" s="10">
        <v>20</v>
      </c>
      <c r="F200" s="10">
        <v>0</v>
      </c>
      <c r="G200" s="127">
        <f t="shared" si="14"/>
        <v>200</v>
      </c>
      <c r="H200" s="8">
        <v>0</v>
      </c>
      <c r="I200" s="8">
        <v>0</v>
      </c>
      <c r="J200" s="63">
        <f t="shared" si="17"/>
        <v>200</v>
      </c>
    </row>
    <row r="201" spans="1:11" ht="14.95" customHeight="1" x14ac:dyDescent="0.25">
      <c r="A201" s="36" t="s">
        <v>117</v>
      </c>
      <c r="B201" s="60" t="s">
        <v>256</v>
      </c>
      <c r="C201" s="8">
        <v>810</v>
      </c>
      <c r="D201" s="10">
        <v>0</v>
      </c>
      <c r="E201" s="10">
        <v>190</v>
      </c>
      <c r="F201" s="10">
        <v>0</v>
      </c>
      <c r="G201" s="127">
        <f t="shared" si="14"/>
        <v>1000</v>
      </c>
      <c r="H201" s="8">
        <v>0</v>
      </c>
      <c r="I201" s="8">
        <v>0</v>
      </c>
      <c r="J201" s="63">
        <f t="shared" si="17"/>
        <v>1000</v>
      </c>
    </row>
    <row r="202" spans="1:11" ht="14.95" customHeight="1" thickBot="1" x14ac:dyDescent="0.3">
      <c r="A202" s="11" t="s">
        <v>118</v>
      </c>
      <c r="B202" s="44"/>
      <c r="C202" s="15">
        <v>152673</v>
      </c>
      <c r="D202" s="12">
        <v>0</v>
      </c>
      <c r="E202" s="12">
        <v>4000</v>
      </c>
      <c r="F202" s="12">
        <f>2.47</f>
        <v>2.4700000000000002</v>
      </c>
      <c r="G202" s="161">
        <f t="shared" si="14"/>
        <v>156675.47</v>
      </c>
      <c r="H202" s="15">
        <v>0</v>
      </c>
      <c r="I202" s="15">
        <v>0</v>
      </c>
      <c r="J202" s="78">
        <f t="shared" si="17"/>
        <v>156675.47</v>
      </c>
    </row>
    <row r="203" spans="1:11" ht="15.65" customHeight="1" thickBot="1" x14ac:dyDescent="0.3">
      <c r="A203" s="38" t="s">
        <v>119</v>
      </c>
      <c r="B203" s="32"/>
      <c r="C203" s="24">
        <f t="shared" ref="C203:I203" si="18">SUM(C205:C247)</f>
        <v>176360</v>
      </c>
      <c r="D203" s="24">
        <f t="shared" si="18"/>
        <v>111</v>
      </c>
      <c r="E203" s="24">
        <f t="shared" si="18"/>
        <v>45</v>
      </c>
      <c r="F203" s="24">
        <f t="shared" si="18"/>
        <v>0</v>
      </c>
      <c r="G203" s="139">
        <f t="shared" si="18"/>
        <v>176519</v>
      </c>
      <c r="H203" s="24">
        <f t="shared" si="18"/>
        <v>0</v>
      </c>
      <c r="I203" s="24">
        <f t="shared" si="18"/>
        <v>0</v>
      </c>
      <c r="J203" s="116">
        <f t="shared" si="17"/>
        <v>176519</v>
      </c>
      <c r="K203" s="145"/>
    </row>
    <row r="204" spans="1:11" ht="14.95" customHeight="1" x14ac:dyDescent="0.25">
      <c r="A204" s="39" t="s">
        <v>25</v>
      </c>
      <c r="B204" s="29"/>
      <c r="C204" s="8"/>
      <c r="D204" s="8"/>
      <c r="E204" s="8"/>
      <c r="F204" s="8"/>
      <c r="G204" s="127"/>
      <c r="H204" s="8"/>
      <c r="I204" s="8"/>
      <c r="J204" s="63"/>
    </row>
    <row r="205" spans="1:11" ht="14.95" customHeight="1" x14ac:dyDescent="0.25">
      <c r="A205" s="9" t="s">
        <v>238</v>
      </c>
      <c r="B205" s="35" t="s">
        <v>156</v>
      </c>
      <c r="C205" s="8">
        <v>850</v>
      </c>
      <c r="D205" s="10">
        <v>0</v>
      </c>
      <c r="E205" s="10">
        <v>0</v>
      </c>
      <c r="F205" s="10">
        <v>0</v>
      </c>
      <c r="G205" s="127">
        <f t="shared" si="14"/>
        <v>850</v>
      </c>
      <c r="H205" s="8">
        <v>-170.3</v>
      </c>
      <c r="I205" s="8">
        <v>0</v>
      </c>
      <c r="J205" s="63">
        <f t="shared" si="17"/>
        <v>679.7</v>
      </c>
    </row>
    <row r="206" spans="1:11" ht="14.95" customHeight="1" x14ac:dyDescent="0.25">
      <c r="A206" s="9" t="s">
        <v>239</v>
      </c>
      <c r="B206" s="35" t="s">
        <v>155</v>
      </c>
      <c r="C206" s="8">
        <v>18500</v>
      </c>
      <c r="D206" s="10">
        <v>0</v>
      </c>
      <c r="E206" s="10">
        <v>0</v>
      </c>
      <c r="F206" s="10">
        <v>0</v>
      </c>
      <c r="G206" s="127">
        <f t="shared" si="14"/>
        <v>18500</v>
      </c>
      <c r="H206" s="8">
        <v>0</v>
      </c>
      <c r="I206" s="8">
        <v>0</v>
      </c>
      <c r="J206" s="63">
        <f t="shared" si="17"/>
        <v>18500</v>
      </c>
    </row>
    <row r="207" spans="1:11" ht="23.1" customHeight="1" x14ac:dyDescent="0.25">
      <c r="A207" s="9" t="s">
        <v>240</v>
      </c>
      <c r="B207" s="35" t="s">
        <v>121</v>
      </c>
      <c r="C207" s="8">
        <v>1000</v>
      </c>
      <c r="D207" s="10">
        <v>0</v>
      </c>
      <c r="E207" s="10">
        <v>0</v>
      </c>
      <c r="F207" s="10">
        <v>0</v>
      </c>
      <c r="G207" s="127">
        <f t="shared" si="14"/>
        <v>1000</v>
      </c>
      <c r="H207" s="8">
        <v>-430</v>
      </c>
      <c r="I207" s="8">
        <v>0</v>
      </c>
      <c r="J207" s="63">
        <f t="shared" si="17"/>
        <v>570</v>
      </c>
    </row>
    <row r="208" spans="1:11" ht="27" customHeight="1" x14ac:dyDescent="0.25">
      <c r="A208" s="9" t="s">
        <v>241</v>
      </c>
      <c r="B208" s="35" t="s">
        <v>122</v>
      </c>
      <c r="C208" s="8">
        <v>1700</v>
      </c>
      <c r="D208" s="10">
        <v>0</v>
      </c>
      <c r="E208" s="10">
        <v>0</v>
      </c>
      <c r="F208" s="10">
        <v>0</v>
      </c>
      <c r="G208" s="127">
        <f t="shared" si="14"/>
        <v>1700</v>
      </c>
      <c r="H208" s="8">
        <v>0</v>
      </c>
      <c r="I208" s="8">
        <v>0</v>
      </c>
      <c r="J208" s="63">
        <f t="shared" si="17"/>
        <v>1700</v>
      </c>
    </row>
    <row r="209" spans="1:10" ht="40.6" customHeight="1" x14ac:dyDescent="0.25">
      <c r="A209" s="9" t="s">
        <v>124</v>
      </c>
      <c r="B209" s="35" t="s">
        <v>228</v>
      </c>
      <c r="C209" s="8">
        <v>11900</v>
      </c>
      <c r="D209" s="10">
        <v>0</v>
      </c>
      <c r="E209" s="10">
        <v>3000</v>
      </c>
      <c r="F209" s="10">
        <v>0</v>
      </c>
      <c r="G209" s="127">
        <f t="shared" si="14"/>
        <v>14900</v>
      </c>
      <c r="H209" s="8">
        <v>0</v>
      </c>
      <c r="I209" s="8">
        <v>0</v>
      </c>
      <c r="J209" s="63">
        <f t="shared" si="17"/>
        <v>14900</v>
      </c>
    </row>
    <row r="210" spans="1:10" ht="14.95" customHeight="1" x14ac:dyDescent="0.25">
      <c r="A210" s="9" t="s">
        <v>223</v>
      </c>
      <c r="B210" s="35" t="s">
        <v>228</v>
      </c>
      <c r="C210" s="8">
        <v>5400</v>
      </c>
      <c r="D210" s="10">
        <v>0</v>
      </c>
      <c r="E210" s="10">
        <v>0</v>
      </c>
      <c r="F210" s="10">
        <v>0</v>
      </c>
      <c r="G210" s="127">
        <f t="shared" si="14"/>
        <v>5400</v>
      </c>
      <c r="H210" s="8">
        <v>0</v>
      </c>
      <c r="I210" s="8">
        <v>0</v>
      </c>
      <c r="J210" s="63">
        <f t="shared" si="17"/>
        <v>5400</v>
      </c>
    </row>
    <row r="211" spans="1:10" ht="14.95" customHeight="1" x14ac:dyDescent="0.25">
      <c r="A211" s="36" t="s">
        <v>125</v>
      </c>
      <c r="B211" s="35" t="s">
        <v>228</v>
      </c>
      <c r="C211" s="8">
        <v>6609</v>
      </c>
      <c r="D211" s="10">
        <v>0</v>
      </c>
      <c r="E211" s="10">
        <v>45</v>
      </c>
      <c r="F211" s="10">
        <v>0</v>
      </c>
      <c r="G211" s="127">
        <f t="shared" si="14"/>
        <v>6654</v>
      </c>
      <c r="H211" s="8">
        <v>0</v>
      </c>
      <c r="I211" s="8">
        <v>0</v>
      </c>
      <c r="J211" s="63">
        <f t="shared" si="17"/>
        <v>6654</v>
      </c>
    </row>
    <row r="212" spans="1:10" ht="42.15" customHeight="1" x14ac:dyDescent="0.25">
      <c r="A212" s="9" t="s">
        <v>126</v>
      </c>
      <c r="B212" s="35" t="s">
        <v>228</v>
      </c>
      <c r="C212" s="8">
        <v>18700</v>
      </c>
      <c r="D212" s="10">
        <v>0</v>
      </c>
      <c r="E212" s="10">
        <v>0</v>
      </c>
      <c r="F212" s="10">
        <v>0</v>
      </c>
      <c r="G212" s="127">
        <f t="shared" si="14"/>
        <v>18700</v>
      </c>
      <c r="H212" s="8">
        <v>0</v>
      </c>
      <c r="I212" s="8">
        <v>0</v>
      </c>
      <c r="J212" s="63">
        <f t="shared" si="17"/>
        <v>18700</v>
      </c>
    </row>
    <row r="213" spans="1:10" ht="14.95" customHeight="1" x14ac:dyDescent="0.25">
      <c r="A213" s="9" t="s">
        <v>226</v>
      </c>
      <c r="B213" s="35" t="s">
        <v>228</v>
      </c>
      <c r="C213" s="8">
        <v>27800</v>
      </c>
      <c r="D213" s="10">
        <v>0</v>
      </c>
      <c r="E213" s="10">
        <v>0</v>
      </c>
      <c r="F213" s="10">
        <v>0</v>
      </c>
      <c r="G213" s="127">
        <f t="shared" si="14"/>
        <v>27800</v>
      </c>
      <c r="H213" s="8">
        <v>0</v>
      </c>
      <c r="I213" s="8">
        <v>0</v>
      </c>
      <c r="J213" s="63">
        <f t="shared" si="17"/>
        <v>27800</v>
      </c>
    </row>
    <row r="214" spans="1:10" ht="40.75" customHeight="1" x14ac:dyDescent="0.25">
      <c r="A214" s="9" t="s">
        <v>127</v>
      </c>
      <c r="B214" s="35" t="s">
        <v>228</v>
      </c>
      <c r="C214" s="8">
        <v>14900</v>
      </c>
      <c r="D214" s="10">
        <v>0</v>
      </c>
      <c r="E214" s="10">
        <v>0</v>
      </c>
      <c r="F214" s="10">
        <v>0</v>
      </c>
      <c r="G214" s="127">
        <f t="shared" si="14"/>
        <v>14900</v>
      </c>
      <c r="H214" s="8">
        <v>0</v>
      </c>
      <c r="I214" s="8">
        <v>0</v>
      </c>
      <c r="J214" s="63">
        <f t="shared" si="17"/>
        <v>14900</v>
      </c>
    </row>
    <row r="215" spans="1:10" ht="14.95" customHeight="1" x14ac:dyDescent="0.25">
      <c r="A215" s="9" t="s">
        <v>225</v>
      </c>
      <c r="B215" s="35" t="s">
        <v>228</v>
      </c>
      <c r="C215" s="8">
        <v>16000</v>
      </c>
      <c r="D215" s="10">
        <v>0</v>
      </c>
      <c r="E215" s="10">
        <v>0</v>
      </c>
      <c r="F215" s="10">
        <v>0</v>
      </c>
      <c r="G215" s="127">
        <f t="shared" si="14"/>
        <v>16000</v>
      </c>
      <c r="H215" s="8">
        <v>0</v>
      </c>
      <c r="I215" s="8">
        <v>0</v>
      </c>
      <c r="J215" s="63">
        <f t="shared" si="17"/>
        <v>16000</v>
      </c>
    </row>
    <row r="216" spans="1:10" ht="41.45" customHeight="1" x14ac:dyDescent="0.25">
      <c r="A216" s="9" t="s">
        <v>128</v>
      </c>
      <c r="B216" s="35" t="s">
        <v>228</v>
      </c>
      <c r="C216" s="8">
        <v>12000</v>
      </c>
      <c r="D216" s="10">
        <v>0</v>
      </c>
      <c r="E216" s="10">
        <v>0</v>
      </c>
      <c r="F216" s="10">
        <v>0</v>
      </c>
      <c r="G216" s="127">
        <f t="shared" si="14"/>
        <v>12000</v>
      </c>
      <c r="H216" s="8">
        <v>0</v>
      </c>
      <c r="I216" s="8">
        <v>0</v>
      </c>
      <c r="J216" s="63">
        <f t="shared" si="17"/>
        <v>12000</v>
      </c>
    </row>
    <row r="217" spans="1:10" ht="14.95" customHeight="1" x14ac:dyDescent="0.25">
      <c r="A217" s="9" t="s">
        <v>224</v>
      </c>
      <c r="B217" s="35" t="s">
        <v>228</v>
      </c>
      <c r="C217" s="8">
        <v>5800</v>
      </c>
      <c r="D217" s="10">
        <v>0</v>
      </c>
      <c r="E217" s="10">
        <v>0</v>
      </c>
      <c r="F217" s="10">
        <v>0</v>
      </c>
      <c r="G217" s="127">
        <f t="shared" si="14"/>
        <v>5800</v>
      </c>
      <c r="H217" s="8">
        <v>0</v>
      </c>
      <c r="I217" s="8">
        <v>0</v>
      </c>
      <c r="J217" s="63">
        <f t="shared" si="17"/>
        <v>5800</v>
      </c>
    </row>
    <row r="218" spans="1:10" ht="54" customHeight="1" x14ac:dyDescent="0.25">
      <c r="A218" s="9" t="s">
        <v>129</v>
      </c>
      <c r="B218" s="35" t="s">
        <v>228</v>
      </c>
      <c r="C218" s="8">
        <v>11300</v>
      </c>
      <c r="D218" s="10">
        <v>0</v>
      </c>
      <c r="E218" s="10">
        <v>0</v>
      </c>
      <c r="F218" s="10">
        <v>0</v>
      </c>
      <c r="G218" s="127">
        <f t="shared" si="14"/>
        <v>11300</v>
      </c>
      <c r="H218" s="8">
        <v>0</v>
      </c>
      <c r="I218" s="8">
        <v>0</v>
      </c>
      <c r="J218" s="63">
        <f t="shared" si="17"/>
        <v>11300</v>
      </c>
    </row>
    <row r="219" spans="1:10" ht="14.95" customHeight="1" x14ac:dyDescent="0.25">
      <c r="A219" s="9" t="s">
        <v>227</v>
      </c>
      <c r="B219" s="35" t="s">
        <v>228</v>
      </c>
      <c r="C219" s="8">
        <v>7000</v>
      </c>
      <c r="D219" s="10">
        <v>0</v>
      </c>
      <c r="E219" s="10">
        <v>0</v>
      </c>
      <c r="F219" s="10">
        <v>0</v>
      </c>
      <c r="G219" s="127">
        <f t="shared" si="14"/>
        <v>7000</v>
      </c>
      <c r="H219" s="8">
        <v>0</v>
      </c>
      <c r="I219" s="8">
        <v>0</v>
      </c>
      <c r="J219" s="63">
        <f t="shared" si="17"/>
        <v>7000</v>
      </c>
    </row>
    <row r="220" spans="1:10" ht="14.95" customHeight="1" x14ac:dyDescent="0.25">
      <c r="A220" s="9" t="s">
        <v>130</v>
      </c>
      <c r="B220" s="35"/>
      <c r="C220" s="8">
        <v>4.5</v>
      </c>
      <c r="D220" s="10">
        <v>0</v>
      </c>
      <c r="E220" s="10">
        <v>0</v>
      </c>
      <c r="F220" s="10">
        <v>0</v>
      </c>
      <c r="G220" s="127">
        <f t="shared" si="14"/>
        <v>4.5</v>
      </c>
      <c r="H220" s="8">
        <v>0</v>
      </c>
      <c r="I220" s="8">
        <v>0</v>
      </c>
      <c r="J220" s="63">
        <f t="shared" si="17"/>
        <v>4.5</v>
      </c>
    </row>
    <row r="221" spans="1:10" ht="14.95" customHeight="1" x14ac:dyDescent="0.25">
      <c r="A221" s="9" t="s">
        <v>131</v>
      </c>
      <c r="B221" s="35" t="s">
        <v>247</v>
      </c>
      <c r="C221" s="8">
        <v>20</v>
      </c>
      <c r="D221" s="10">
        <v>0</v>
      </c>
      <c r="E221" s="10">
        <v>0</v>
      </c>
      <c r="F221" s="10">
        <v>0</v>
      </c>
      <c r="G221" s="127">
        <f t="shared" si="14"/>
        <v>20</v>
      </c>
      <c r="H221" s="8">
        <v>0</v>
      </c>
      <c r="I221" s="8">
        <v>0</v>
      </c>
      <c r="J221" s="63">
        <f t="shared" si="17"/>
        <v>20</v>
      </c>
    </row>
    <row r="222" spans="1:10" ht="14.95" customHeight="1" x14ac:dyDescent="0.25">
      <c r="A222" s="9" t="s">
        <v>132</v>
      </c>
      <c r="B222" s="35" t="s">
        <v>247</v>
      </c>
      <c r="C222" s="8">
        <v>30</v>
      </c>
      <c r="D222" s="10">
        <v>0</v>
      </c>
      <c r="E222" s="10">
        <v>0</v>
      </c>
      <c r="F222" s="10">
        <v>0</v>
      </c>
      <c r="G222" s="127">
        <f t="shared" si="14"/>
        <v>30</v>
      </c>
      <c r="H222" s="8">
        <v>0</v>
      </c>
      <c r="I222" s="8">
        <v>0</v>
      </c>
      <c r="J222" s="63">
        <f t="shared" si="17"/>
        <v>30</v>
      </c>
    </row>
    <row r="223" spans="1:10" ht="14.95" customHeight="1" x14ac:dyDescent="0.25">
      <c r="A223" s="36" t="s">
        <v>133</v>
      </c>
      <c r="B223" s="35" t="s">
        <v>247</v>
      </c>
      <c r="C223" s="8">
        <v>100</v>
      </c>
      <c r="D223" s="10">
        <v>0</v>
      </c>
      <c r="E223" s="10">
        <v>0</v>
      </c>
      <c r="F223" s="10">
        <v>0</v>
      </c>
      <c r="G223" s="127">
        <f t="shared" si="14"/>
        <v>100</v>
      </c>
      <c r="H223" s="8">
        <v>0</v>
      </c>
      <c r="I223" s="8">
        <v>0</v>
      </c>
      <c r="J223" s="63">
        <f t="shared" si="17"/>
        <v>100</v>
      </c>
    </row>
    <row r="224" spans="1:10" ht="14.95" customHeight="1" x14ac:dyDescent="0.25">
      <c r="A224" s="36" t="s">
        <v>134</v>
      </c>
      <c r="B224" s="35" t="s">
        <v>228</v>
      </c>
      <c r="C224" s="8">
        <v>1050</v>
      </c>
      <c r="D224" s="10">
        <v>0</v>
      </c>
      <c r="E224" s="10">
        <v>0</v>
      </c>
      <c r="F224" s="10">
        <v>0</v>
      </c>
      <c r="G224" s="127">
        <f t="shared" si="14"/>
        <v>1050</v>
      </c>
      <c r="H224" s="8">
        <v>0</v>
      </c>
      <c r="I224" s="8">
        <v>0</v>
      </c>
      <c r="J224" s="63">
        <f t="shared" si="17"/>
        <v>1050</v>
      </c>
    </row>
    <row r="225" spans="1:10" ht="14.95" customHeight="1" x14ac:dyDescent="0.25">
      <c r="A225" s="36" t="s">
        <v>135</v>
      </c>
      <c r="B225" s="35" t="s">
        <v>228</v>
      </c>
      <c r="C225" s="8">
        <v>4000</v>
      </c>
      <c r="D225" s="10">
        <v>0</v>
      </c>
      <c r="E225" s="10">
        <v>0</v>
      </c>
      <c r="F225" s="10">
        <v>0</v>
      </c>
      <c r="G225" s="127">
        <f t="shared" si="14"/>
        <v>4000</v>
      </c>
      <c r="H225" s="8">
        <v>0</v>
      </c>
      <c r="I225" s="8">
        <v>0</v>
      </c>
      <c r="J225" s="63">
        <f t="shared" si="17"/>
        <v>4000</v>
      </c>
    </row>
    <row r="226" spans="1:10" ht="14.95" customHeight="1" x14ac:dyDescent="0.25">
      <c r="A226" s="36" t="s">
        <v>136</v>
      </c>
      <c r="B226" s="35" t="s">
        <v>247</v>
      </c>
      <c r="C226" s="8">
        <v>90</v>
      </c>
      <c r="D226" s="10">
        <v>0</v>
      </c>
      <c r="E226" s="10">
        <v>0</v>
      </c>
      <c r="F226" s="10">
        <v>0</v>
      </c>
      <c r="G226" s="127">
        <f t="shared" si="14"/>
        <v>90</v>
      </c>
      <c r="H226" s="8">
        <v>0</v>
      </c>
      <c r="I226" s="8">
        <v>0</v>
      </c>
      <c r="J226" s="63">
        <f t="shared" si="17"/>
        <v>90</v>
      </c>
    </row>
    <row r="227" spans="1:10" ht="14.95" customHeight="1" x14ac:dyDescent="0.25">
      <c r="A227" s="36" t="s">
        <v>137</v>
      </c>
      <c r="B227" s="35" t="s">
        <v>228</v>
      </c>
      <c r="C227" s="8">
        <v>50</v>
      </c>
      <c r="D227" s="10">
        <v>0</v>
      </c>
      <c r="E227" s="10">
        <v>0</v>
      </c>
      <c r="F227" s="10">
        <v>0</v>
      </c>
      <c r="G227" s="127">
        <f t="shared" si="14"/>
        <v>50</v>
      </c>
      <c r="H227" s="8">
        <v>0</v>
      </c>
      <c r="I227" s="8">
        <v>0</v>
      </c>
      <c r="J227" s="63">
        <f t="shared" si="17"/>
        <v>50</v>
      </c>
    </row>
    <row r="228" spans="1:10" ht="14.95" customHeight="1" x14ac:dyDescent="0.25">
      <c r="A228" s="36" t="s">
        <v>138</v>
      </c>
      <c r="B228" s="35" t="s">
        <v>228</v>
      </c>
      <c r="C228" s="8">
        <v>100</v>
      </c>
      <c r="D228" s="10">
        <v>0</v>
      </c>
      <c r="E228" s="10">
        <v>0</v>
      </c>
      <c r="F228" s="10">
        <v>0</v>
      </c>
      <c r="G228" s="127">
        <f t="shared" si="14"/>
        <v>100</v>
      </c>
      <c r="H228" s="8">
        <v>0</v>
      </c>
      <c r="I228" s="8">
        <v>0</v>
      </c>
      <c r="J228" s="63">
        <f t="shared" si="17"/>
        <v>100</v>
      </c>
    </row>
    <row r="229" spans="1:10" ht="14.95" customHeight="1" x14ac:dyDescent="0.25">
      <c r="A229" s="36" t="s">
        <v>139</v>
      </c>
      <c r="B229" s="35" t="s">
        <v>228</v>
      </c>
      <c r="C229" s="8">
        <v>650</v>
      </c>
      <c r="D229" s="10">
        <v>0</v>
      </c>
      <c r="E229" s="10">
        <v>0</v>
      </c>
      <c r="F229" s="10">
        <v>0</v>
      </c>
      <c r="G229" s="127">
        <f t="shared" si="14"/>
        <v>650</v>
      </c>
      <c r="H229" s="8">
        <v>0</v>
      </c>
      <c r="I229" s="8">
        <v>0</v>
      </c>
      <c r="J229" s="63">
        <f t="shared" si="17"/>
        <v>650</v>
      </c>
    </row>
    <row r="230" spans="1:10" ht="14.95" customHeight="1" x14ac:dyDescent="0.25">
      <c r="A230" s="42" t="s">
        <v>140</v>
      </c>
      <c r="B230" s="35" t="s">
        <v>247</v>
      </c>
      <c r="C230" s="8">
        <v>45</v>
      </c>
      <c r="D230" s="10">
        <v>0</v>
      </c>
      <c r="E230" s="10">
        <v>0</v>
      </c>
      <c r="F230" s="10">
        <v>0</v>
      </c>
      <c r="G230" s="127">
        <f t="shared" si="14"/>
        <v>45</v>
      </c>
      <c r="H230" s="8">
        <v>0</v>
      </c>
      <c r="I230" s="8">
        <v>0</v>
      </c>
      <c r="J230" s="63">
        <f t="shared" si="17"/>
        <v>45</v>
      </c>
    </row>
    <row r="231" spans="1:10" ht="14.95" customHeight="1" x14ac:dyDescent="0.25">
      <c r="A231" s="9" t="s">
        <v>141</v>
      </c>
      <c r="B231" s="35" t="s">
        <v>247</v>
      </c>
      <c r="C231" s="8">
        <v>30</v>
      </c>
      <c r="D231" s="10">
        <v>0</v>
      </c>
      <c r="E231" s="10">
        <v>0</v>
      </c>
      <c r="F231" s="10">
        <v>0</v>
      </c>
      <c r="G231" s="127">
        <f t="shared" si="14"/>
        <v>30</v>
      </c>
      <c r="H231" s="8">
        <v>0</v>
      </c>
      <c r="I231" s="8">
        <v>0</v>
      </c>
      <c r="J231" s="63">
        <f t="shared" si="17"/>
        <v>30</v>
      </c>
    </row>
    <row r="232" spans="1:10" ht="14.95" customHeight="1" x14ac:dyDescent="0.25">
      <c r="A232" s="42" t="s">
        <v>142</v>
      </c>
      <c r="B232" s="35" t="s">
        <v>247</v>
      </c>
      <c r="C232" s="8">
        <v>45</v>
      </c>
      <c r="D232" s="10">
        <v>0</v>
      </c>
      <c r="E232" s="10">
        <v>0</v>
      </c>
      <c r="F232" s="10">
        <v>0</v>
      </c>
      <c r="G232" s="127">
        <f t="shared" si="14"/>
        <v>45</v>
      </c>
      <c r="H232" s="8">
        <v>0</v>
      </c>
      <c r="I232" s="8">
        <v>0</v>
      </c>
      <c r="J232" s="63">
        <f t="shared" si="17"/>
        <v>45</v>
      </c>
    </row>
    <row r="233" spans="1:10" ht="14.95" customHeight="1" x14ac:dyDescent="0.25">
      <c r="A233" s="42" t="s">
        <v>338</v>
      </c>
      <c r="B233" s="35" t="s">
        <v>228</v>
      </c>
      <c r="C233" s="8">
        <v>0</v>
      </c>
      <c r="D233" s="10">
        <v>0</v>
      </c>
      <c r="E233" s="10">
        <v>0</v>
      </c>
      <c r="F233" s="10">
        <f>45</f>
        <v>45</v>
      </c>
      <c r="G233" s="127">
        <f>SUM(C233:F233)</f>
        <v>45</v>
      </c>
      <c r="H233" s="8">
        <v>0</v>
      </c>
      <c r="I233" s="8">
        <v>0</v>
      </c>
      <c r="J233" s="63">
        <f t="shared" si="17"/>
        <v>45</v>
      </c>
    </row>
    <row r="234" spans="1:10" ht="14.95" customHeight="1" x14ac:dyDescent="0.25">
      <c r="A234" s="42" t="s">
        <v>143</v>
      </c>
      <c r="B234" s="35" t="s">
        <v>228</v>
      </c>
      <c r="C234" s="8">
        <v>50</v>
      </c>
      <c r="D234" s="10">
        <v>0</v>
      </c>
      <c r="E234" s="10">
        <v>0</v>
      </c>
      <c r="F234" s="10">
        <v>0</v>
      </c>
      <c r="G234" s="127">
        <f t="shared" si="14"/>
        <v>50</v>
      </c>
      <c r="H234" s="8">
        <v>0</v>
      </c>
      <c r="I234" s="8">
        <v>0</v>
      </c>
      <c r="J234" s="63">
        <f t="shared" si="17"/>
        <v>50</v>
      </c>
    </row>
    <row r="235" spans="1:10" ht="29.25" customHeight="1" x14ac:dyDescent="0.25">
      <c r="A235" s="42" t="s">
        <v>336</v>
      </c>
      <c r="B235" s="35" t="s">
        <v>228</v>
      </c>
      <c r="C235" s="8">
        <v>0</v>
      </c>
      <c r="D235" s="10">
        <v>0</v>
      </c>
      <c r="E235" s="10">
        <v>0</v>
      </c>
      <c r="F235" s="10">
        <f>30</f>
        <v>30</v>
      </c>
      <c r="G235" s="127">
        <f>SUM(C235:F235)</f>
        <v>30</v>
      </c>
      <c r="H235" s="8">
        <v>0</v>
      </c>
      <c r="I235" s="8">
        <v>0</v>
      </c>
      <c r="J235" s="63">
        <f t="shared" si="17"/>
        <v>30</v>
      </c>
    </row>
    <row r="236" spans="1:10" ht="14.95" customHeight="1" x14ac:dyDescent="0.25">
      <c r="A236" s="42" t="s">
        <v>356</v>
      </c>
      <c r="B236" s="35" t="s">
        <v>251</v>
      </c>
      <c r="C236" s="8">
        <v>0</v>
      </c>
      <c r="D236" s="10">
        <v>0</v>
      </c>
      <c r="E236" s="10">
        <v>0</v>
      </c>
      <c r="F236" s="10">
        <f>20</f>
        <v>20</v>
      </c>
      <c r="G236" s="127">
        <f>SUM(C236:F236)</f>
        <v>20</v>
      </c>
      <c r="H236" s="8">
        <v>0</v>
      </c>
      <c r="I236" s="8">
        <v>0</v>
      </c>
      <c r="J236" s="63">
        <f t="shared" si="17"/>
        <v>20</v>
      </c>
    </row>
    <row r="237" spans="1:10" ht="14.95" customHeight="1" x14ac:dyDescent="0.25">
      <c r="A237" s="9" t="s">
        <v>144</v>
      </c>
      <c r="B237" s="35" t="s">
        <v>228</v>
      </c>
      <c r="C237" s="8">
        <v>668</v>
      </c>
      <c r="D237" s="10">
        <v>0</v>
      </c>
      <c r="E237" s="10">
        <v>0</v>
      </c>
      <c r="F237" s="10">
        <v>0</v>
      </c>
      <c r="G237" s="127">
        <f t="shared" si="14"/>
        <v>668</v>
      </c>
      <c r="H237" s="8">
        <v>0</v>
      </c>
      <c r="I237" s="8">
        <v>0</v>
      </c>
      <c r="J237" s="63">
        <f t="shared" si="17"/>
        <v>668</v>
      </c>
    </row>
    <row r="238" spans="1:10" ht="14.95" customHeight="1" x14ac:dyDescent="0.25">
      <c r="A238" s="9" t="s">
        <v>145</v>
      </c>
      <c r="B238" s="35" t="s">
        <v>228</v>
      </c>
      <c r="C238" s="8">
        <v>526</v>
      </c>
      <c r="D238" s="10">
        <v>0</v>
      </c>
      <c r="E238" s="10">
        <v>0</v>
      </c>
      <c r="F238" s="10">
        <v>0</v>
      </c>
      <c r="G238" s="127">
        <f t="shared" si="14"/>
        <v>526</v>
      </c>
      <c r="H238" s="8">
        <v>0</v>
      </c>
      <c r="I238" s="8">
        <v>0</v>
      </c>
      <c r="J238" s="63">
        <f t="shared" si="17"/>
        <v>526</v>
      </c>
    </row>
    <row r="239" spans="1:10" ht="14.95" customHeight="1" x14ac:dyDescent="0.25">
      <c r="A239" s="9" t="s">
        <v>146</v>
      </c>
      <c r="B239" s="35" t="s">
        <v>228</v>
      </c>
      <c r="C239" s="8">
        <v>162</v>
      </c>
      <c r="D239" s="10">
        <v>0</v>
      </c>
      <c r="E239" s="10">
        <v>0</v>
      </c>
      <c r="F239" s="10">
        <v>0</v>
      </c>
      <c r="G239" s="127">
        <f t="shared" ref="G239:G302" si="19">SUM(C239:F239)</f>
        <v>162</v>
      </c>
      <c r="H239" s="8">
        <v>0</v>
      </c>
      <c r="I239" s="8">
        <v>0</v>
      </c>
      <c r="J239" s="63">
        <f t="shared" si="17"/>
        <v>162</v>
      </c>
    </row>
    <row r="240" spans="1:10" ht="14.95" customHeight="1" x14ac:dyDescent="0.25">
      <c r="A240" s="9" t="s">
        <v>147</v>
      </c>
      <c r="B240" s="35" t="s">
        <v>228</v>
      </c>
      <c r="C240" s="8">
        <v>541</v>
      </c>
      <c r="D240" s="10">
        <v>0</v>
      </c>
      <c r="E240" s="10">
        <v>0</v>
      </c>
      <c r="F240" s="10">
        <v>0</v>
      </c>
      <c r="G240" s="127">
        <f t="shared" si="19"/>
        <v>541</v>
      </c>
      <c r="H240" s="8">
        <v>0</v>
      </c>
      <c r="I240" s="8">
        <v>0</v>
      </c>
      <c r="J240" s="63">
        <f t="shared" si="17"/>
        <v>541</v>
      </c>
    </row>
    <row r="241" spans="1:11" ht="14.95" customHeight="1" x14ac:dyDescent="0.25">
      <c r="A241" s="9" t="s">
        <v>148</v>
      </c>
      <c r="B241" s="35" t="s">
        <v>228</v>
      </c>
      <c r="C241" s="8">
        <v>200</v>
      </c>
      <c r="D241" s="10">
        <v>0</v>
      </c>
      <c r="E241" s="10">
        <v>0</v>
      </c>
      <c r="F241" s="10">
        <v>0</v>
      </c>
      <c r="G241" s="127">
        <f t="shared" si="19"/>
        <v>200</v>
      </c>
      <c r="H241" s="8">
        <v>0</v>
      </c>
      <c r="I241" s="8">
        <v>0</v>
      </c>
      <c r="J241" s="63">
        <f t="shared" si="17"/>
        <v>200</v>
      </c>
    </row>
    <row r="242" spans="1:11" ht="26.35" customHeight="1" x14ac:dyDescent="0.25">
      <c r="A242" s="9" t="s">
        <v>337</v>
      </c>
      <c r="B242" s="35" t="s">
        <v>228</v>
      </c>
      <c r="C242" s="8">
        <v>0</v>
      </c>
      <c r="D242" s="10">
        <v>0</v>
      </c>
      <c r="E242" s="10">
        <v>0</v>
      </c>
      <c r="F242" s="10">
        <f>35</f>
        <v>35</v>
      </c>
      <c r="G242" s="127">
        <f>SUM(C242:F242)</f>
        <v>35</v>
      </c>
      <c r="H242" s="8">
        <v>0</v>
      </c>
      <c r="I242" s="8">
        <v>0</v>
      </c>
      <c r="J242" s="63">
        <f t="shared" si="17"/>
        <v>35</v>
      </c>
    </row>
    <row r="243" spans="1:11" ht="27.7" customHeight="1" x14ac:dyDescent="0.25">
      <c r="A243" s="9" t="s">
        <v>335</v>
      </c>
      <c r="B243" s="35" t="s">
        <v>228</v>
      </c>
      <c r="C243" s="8">
        <v>0</v>
      </c>
      <c r="D243" s="10">
        <v>0</v>
      </c>
      <c r="E243" s="10">
        <v>0</v>
      </c>
      <c r="F243" s="10">
        <f>35</f>
        <v>35</v>
      </c>
      <c r="G243" s="127">
        <f>SUM(C243:F243)</f>
        <v>35</v>
      </c>
      <c r="H243" s="8">
        <v>0</v>
      </c>
      <c r="I243" s="8">
        <v>0</v>
      </c>
      <c r="J243" s="63">
        <f t="shared" si="17"/>
        <v>35</v>
      </c>
    </row>
    <row r="244" spans="1:11" ht="14.95" customHeight="1" x14ac:dyDescent="0.25">
      <c r="A244" s="9" t="s">
        <v>269</v>
      </c>
      <c r="B244" s="35" t="s">
        <v>228</v>
      </c>
      <c r="C244" s="8">
        <v>0</v>
      </c>
      <c r="D244" s="10">
        <f>35</f>
        <v>35</v>
      </c>
      <c r="E244" s="10">
        <v>0</v>
      </c>
      <c r="F244" s="10">
        <v>0</v>
      </c>
      <c r="G244" s="127">
        <f t="shared" si="19"/>
        <v>35</v>
      </c>
      <c r="H244" s="8">
        <v>0</v>
      </c>
      <c r="I244" s="8">
        <v>0</v>
      </c>
      <c r="J244" s="63">
        <f t="shared" si="17"/>
        <v>35</v>
      </c>
    </row>
    <row r="245" spans="1:11" ht="14.95" customHeight="1" x14ac:dyDescent="0.25">
      <c r="A245" s="19" t="s">
        <v>149</v>
      </c>
      <c r="B245" s="35" t="s">
        <v>228</v>
      </c>
      <c r="C245" s="8">
        <v>200</v>
      </c>
      <c r="D245" s="10">
        <v>0</v>
      </c>
      <c r="E245" s="10">
        <v>0</v>
      </c>
      <c r="F245" s="10">
        <v>0</v>
      </c>
      <c r="G245" s="127">
        <f t="shared" si="19"/>
        <v>200</v>
      </c>
      <c r="H245" s="8">
        <v>0</v>
      </c>
      <c r="I245" s="8">
        <v>0</v>
      </c>
      <c r="J245" s="63">
        <f t="shared" si="17"/>
        <v>200</v>
      </c>
    </row>
    <row r="246" spans="1:11" ht="14.95" customHeight="1" x14ac:dyDescent="0.25">
      <c r="A246" s="9" t="s">
        <v>150</v>
      </c>
      <c r="B246" s="35" t="s">
        <v>228</v>
      </c>
      <c r="C246" s="8">
        <v>100</v>
      </c>
      <c r="D246" s="10">
        <v>0</v>
      </c>
      <c r="E246" s="10">
        <v>0</v>
      </c>
      <c r="F246" s="10">
        <v>0</v>
      </c>
      <c r="G246" s="127">
        <f t="shared" si="19"/>
        <v>100</v>
      </c>
      <c r="H246" s="8">
        <v>0</v>
      </c>
      <c r="I246" s="8">
        <v>0</v>
      </c>
      <c r="J246" s="63">
        <f t="shared" si="17"/>
        <v>100</v>
      </c>
    </row>
    <row r="247" spans="1:11" ht="14.95" customHeight="1" thickBot="1" x14ac:dyDescent="0.3">
      <c r="A247" s="37" t="s">
        <v>151</v>
      </c>
      <c r="B247" s="54"/>
      <c r="C247" s="12">
        <v>8239.5</v>
      </c>
      <c r="D247" s="12">
        <f>76</f>
        <v>76</v>
      </c>
      <c r="E247" s="12">
        <v>-3000</v>
      </c>
      <c r="F247" s="12">
        <f>-145-20</f>
        <v>-165</v>
      </c>
      <c r="G247" s="140">
        <f>SUM(C247:F247)+3</f>
        <v>5153.5</v>
      </c>
      <c r="H247" s="12">
        <v>600.29999999999995</v>
      </c>
      <c r="I247" s="15">
        <v>0</v>
      </c>
      <c r="J247" s="78">
        <f t="shared" si="17"/>
        <v>5753.8</v>
      </c>
    </row>
    <row r="248" spans="1:11" ht="15.65" customHeight="1" thickBot="1" x14ac:dyDescent="0.3">
      <c r="A248" s="38" t="s">
        <v>152</v>
      </c>
      <c r="B248" s="32"/>
      <c r="C248" s="24">
        <f>SUM(C250:C250)</f>
        <v>2548</v>
      </c>
      <c r="D248" s="24">
        <f t="shared" ref="D248:I248" si="20">SUM(D250)</f>
        <v>4319</v>
      </c>
      <c r="E248" s="24">
        <f t="shared" si="20"/>
        <v>2170</v>
      </c>
      <c r="F248" s="24">
        <f t="shared" si="20"/>
        <v>109</v>
      </c>
      <c r="G248" s="139">
        <f t="shared" si="20"/>
        <v>9146</v>
      </c>
      <c r="H248" s="24">
        <f t="shared" si="20"/>
        <v>0</v>
      </c>
      <c r="I248" s="24">
        <f t="shared" si="20"/>
        <v>0</v>
      </c>
      <c r="J248" s="116">
        <f t="shared" si="17"/>
        <v>9146</v>
      </c>
      <c r="K248" s="145"/>
    </row>
    <row r="249" spans="1:11" ht="14.95" customHeight="1" x14ac:dyDescent="0.25">
      <c r="A249" s="39" t="s">
        <v>25</v>
      </c>
      <c r="B249" s="29"/>
      <c r="C249" s="8"/>
      <c r="D249" s="8"/>
      <c r="E249" s="8"/>
      <c r="F249" s="8"/>
      <c r="G249" s="127"/>
      <c r="H249" s="8"/>
      <c r="I249" s="8"/>
      <c r="J249" s="63"/>
    </row>
    <row r="250" spans="1:11" ht="14.95" customHeight="1" thickBot="1" x14ac:dyDescent="0.3">
      <c r="A250" s="37" t="s">
        <v>153</v>
      </c>
      <c r="B250" s="27"/>
      <c r="C250" s="12">
        <v>2548</v>
      </c>
      <c r="D250" s="12">
        <f>605+64+650+3000</f>
        <v>4319</v>
      </c>
      <c r="E250" s="12">
        <v>2170</v>
      </c>
      <c r="F250" s="12">
        <f>109</f>
        <v>109</v>
      </c>
      <c r="G250" s="140">
        <f t="shared" si="19"/>
        <v>9146</v>
      </c>
      <c r="H250" s="12">
        <v>0</v>
      </c>
      <c r="I250" s="12"/>
      <c r="J250" s="78">
        <f t="shared" si="17"/>
        <v>9146</v>
      </c>
    </row>
    <row r="251" spans="1:11" ht="15.65" customHeight="1" thickBot="1" x14ac:dyDescent="0.3">
      <c r="A251" s="38" t="s">
        <v>154</v>
      </c>
      <c r="B251" s="32"/>
      <c r="C251" s="24">
        <f t="shared" ref="C251:I251" si="21">SUM(C253:C268)</f>
        <v>19921.5</v>
      </c>
      <c r="D251" s="24">
        <f t="shared" si="21"/>
        <v>202.87</v>
      </c>
      <c r="E251" s="24">
        <f t="shared" si="21"/>
        <v>228.54</v>
      </c>
      <c r="F251" s="24">
        <f t="shared" si="21"/>
        <v>0</v>
      </c>
      <c r="G251" s="139">
        <f t="shared" si="21"/>
        <v>20352.91</v>
      </c>
      <c r="H251" s="24">
        <f t="shared" si="21"/>
        <v>-186</v>
      </c>
      <c r="I251" s="24">
        <f t="shared" si="21"/>
        <v>0</v>
      </c>
      <c r="J251" s="116">
        <f t="shared" si="17"/>
        <v>20166.91</v>
      </c>
      <c r="K251" s="145"/>
    </row>
    <row r="252" spans="1:11" ht="14.95" customHeight="1" x14ac:dyDescent="0.25">
      <c r="A252" s="39" t="s">
        <v>25</v>
      </c>
      <c r="B252" s="29"/>
      <c r="C252" s="8"/>
      <c r="D252" s="8"/>
      <c r="E252" s="8"/>
      <c r="F252" s="8"/>
      <c r="G252" s="127"/>
      <c r="H252" s="8"/>
      <c r="I252" s="8"/>
      <c r="J252" s="63"/>
    </row>
    <row r="253" spans="1:11" ht="26.35" customHeight="1" x14ac:dyDescent="0.25">
      <c r="A253" s="9" t="s">
        <v>243</v>
      </c>
      <c r="B253" s="35" t="s">
        <v>201</v>
      </c>
      <c r="C253" s="8">
        <v>600</v>
      </c>
      <c r="D253" s="10">
        <v>0</v>
      </c>
      <c r="E253" s="10">
        <v>0</v>
      </c>
      <c r="F253" s="10">
        <v>0</v>
      </c>
      <c r="G253" s="127">
        <f t="shared" si="19"/>
        <v>600</v>
      </c>
      <c r="H253" s="8">
        <v>-300</v>
      </c>
      <c r="I253" s="8">
        <v>0</v>
      </c>
      <c r="J253" s="63">
        <f t="shared" si="17"/>
        <v>300</v>
      </c>
    </row>
    <row r="254" spans="1:11" ht="14.95" customHeight="1" x14ac:dyDescent="0.25">
      <c r="A254" s="9" t="s">
        <v>242</v>
      </c>
      <c r="B254" s="35" t="s">
        <v>123</v>
      </c>
      <c r="C254" s="8">
        <v>660</v>
      </c>
      <c r="D254" s="10">
        <v>0</v>
      </c>
      <c r="E254" s="10">
        <v>0</v>
      </c>
      <c r="F254" s="10">
        <v>0</v>
      </c>
      <c r="G254" s="127">
        <f t="shared" si="19"/>
        <v>660</v>
      </c>
      <c r="H254" s="8">
        <v>-166</v>
      </c>
      <c r="I254" s="8">
        <v>0</v>
      </c>
      <c r="J254" s="63">
        <f t="shared" si="17"/>
        <v>494</v>
      </c>
    </row>
    <row r="255" spans="1:11" ht="26.35" customHeight="1" x14ac:dyDescent="0.25">
      <c r="A255" s="9" t="s">
        <v>244</v>
      </c>
      <c r="B255" s="35" t="s">
        <v>245</v>
      </c>
      <c r="C255" s="8">
        <v>300</v>
      </c>
      <c r="D255" s="10">
        <v>0</v>
      </c>
      <c r="E255" s="10">
        <v>0</v>
      </c>
      <c r="F255" s="10">
        <v>0</v>
      </c>
      <c r="G255" s="127">
        <f t="shared" si="19"/>
        <v>300</v>
      </c>
      <c r="H255" s="8">
        <v>0</v>
      </c>
      <c r="I255" s="8">
        <v>0</v>
      </c>
      <c r="J255" s="63">
        <f t="shared" si="17"/>
        <v>300</v>
      </c>
    </row>
    <row r="256" spans="1:11" ht="14.95" customHeight="1" x14ac:dyDescent="0.25">
      <c r="A256" s="9" t="s">
        <v>158</v>
      </c>
      <c r="B256" s="35" t="s">
        <v>228</v>
      </c>
      <c r="C256" s="8">
        <v>7622</v>
      </c>
      <c r="D256" s="10">
        <v>0</v>
      </c>
      <c r="E256" s="10">
        <v>413</v>
      </c>
      <c r="F256" s="10">
        <v>0</v>
      </c>
      <c r="G256" s="127">
        <f t="shared" si="19"/>
        <v>8035</v>
      </c>
      <c r="H256" s="8">
        <v>0</v>
      </c>
      <c r="I256" s="8">
        <v>0</v>
      </c>
      <c r="J256" s="63">
        <f t="shared" si="17"/>
        <v>8035</v>
      </c>
    </row>
    <row r="257" spans="1:11" ht="14.95" customHeight="1" x14ac:dyDescent="0.25">
      <c r="A257" s="9" t="s">
        <v>159</v>
      </c>
      <c r="B257" s="35" t="s">
        <v>251</v>
      </c>
      <c r="C257" s="8">
        <v>850</v>
      </c>
      <c r="D257" s="10">
        <v>0</v>
      </c>
      <c r="E257" s="10">
        <v>0</v>
      </c>
      <c r="F257" s="10">
        <v>0</v>
      </c>
      <c r="G257" s="127">
        <f t="shared" si="19"/>
        <v>850</v>
      </c>
      <c r="H257" s="8">
        <v>0</v>
      </c>
      <c r="I257" s="8">
        <v>0</v>
      </c>
      <c r="J257" s="63">
        <f t="shared" si="17"/>
        <v>850</v>
      </c>
    </row>
    <row r="258" spans="1:11" ht="27.7" customHeight="1" x14ac:dyDescent="0.25">
      <c r="A258" s="9" t="s">
        <v>160</v>
      </c>
      <c r="B258" s="35"/>
      <c r="C258" s="8">
        <v>355</v>
      </c>
      <c r="D258" s="10">
        <v>0</v>
      </c>
      <c r="E258" s="10">
        <v>0</v>
      </c>
      <c r="F258" s="10">
        <v>0</v>
      </c>
      <c r="G258" s="127">
        <f t="shared" si="19"/>
        <v>355</v>
      </c>
      <c r="H258" s="8">
        <v>0</v>
      </c>
      <c r="I258" s="8">
        <v>0</v>
      </c>
      <c r="J258" s="63">
        <f t="shared" si="17"/>
        <v>355</v>
      </c>
    </row>
    <row r="259" spans="1:11" ht="14.95" customHeight="1" x14ac:dyDescent="0.25">
      <c r="A259" s="36" t="s">
        <v>161</v>
      </c>
      <c r="B259" s="35" t="s">
        <v>252</v>
      </c>
      <c r="C259" s="8">
        <v>500</v>
      </c>
      <c r="D259" s="10">
        <v>0</v>
      </c>
      <c r="E259" s="10">
        <v>0</v>
      </c>
      <c r="F259" s="10">
        <v>0</v>
      </c>
      <c r="G259" s="127">
        <f t="shared" si="19"/>
        <v>500</v>
      </c>
      <c r="H259" s="8">
        <v>0</v>
      </c>
      <c r="I259" s="8">
        <v>0</v>
      </c>
      <c r="J259" s="63">
        <f t="shared" si="17"/>
        <v>500</v>
      </c>
    </row>
    <row r="260" spans="1:11" ht="14.95" customHeight="1" x14ac:dyDescent="0.25">
      <c r="A260" s="9" t="s">
        <v>162</v>
      </c>
      <c r="B260" s="35"/>
      <c r="C260" s="8">
        <v>70</v>
      </c>
      <c r="D260" s="10">
        <v>0</v>
      </c>
      <c r="E260" s="10">
        <v>0</v>
      </c>
      <c r="F260" s="10">
        <v>0</v>
      </c>
      <c r="G260" s="127">
        <f t="shared" si="19"/>
        <v>70</v>
      </c>
      <c r="H260" s="8">
        <v>0</v>
      </c>
      <c r="I260" s="8">
        <v>0</v>
      </c>
      <c r="J260" s="63">
        <f t="shared" si="17"/>
        <v>70</v>
      </c>
    </row>
    <row r="261" spans="1:11" ht="27.7" customHeight="1" x14ac:dyDescent="0.25">
      <c r="A261" s="19" t="s">
        <v>248</v>
      </c>
      <c r="B261" s="35"/>
      <c r="C261" s="8">
        <v>500</v>
      </c>
      <c r="D261" s="10">
        <v>0</v>
      </c>
      <c r="E261" s="10">
        <v>-74.36</v>
      </c>
      <c r="F261" s="10">
        <v>0</v>
      </c>
      <c r="G261" s="127">
        <f t="shared" si="19"/>
        <v>425.64</v>
      </c>
      <c r="H261" s="8">
        <v>0</v>
      </c>
      <c r="I261" s="8">
        <v>0</v>
      </c>
      <c r="J261" s="63">
        <f t="shared" si="17"/>
        <v>425.64</v>
      </c>
    </row>
    <row r="262" spans="1:11" ht="14.95" customHeight="1" x14ac:dyDescent="0.25">
      <c r="A262" s="36" t="s">
        <v>163</v>
      </c>
      <c r="B262" s="35"/>
      <c r="C262" s="8">
        <v>1</v>
      </c>
      <c r="D262" s="10">
        <v>0</v>
      </c>
      <c r="E262" s="10">
        <v>0</v>
      </c>
      <c r="F262" s="10">
        <v>0</v>
      </c>
      <c r="G262" s="127">
        <f t="shared" si="19"/>
        <v>1</v>
      </c>
      <c r="H262" s="8">
        <v>0</v>
      </c>
      <c r="I262" s="8">
        <v>0</v>
      </c>
      <c r="J262" s="63">
        <f t="shared" ref="J262:J325" si="22">SUM(G262:I262)</f>
        <v>1</v>
      </c>
    </row>
    <row r="263" spans="1:11" ht="14.95" customHeight="1" x14ac:dyDescent="0.25">
      <c r="A263" s="36" t="s">
        <v>164</v>
      </c>
      <c r="B263" s="35"/>
      <c r="C263" s="8">
        <v>199</v>
      </c>
      <c r="D263" s="10">
        <v>0</v>
      </c>
      <c r="E263" s="10">
        <v>0</v>
      </c>
      <c r="F263" s="10">
        <v>0</v>
      </c>
      <c r="G263" s="127">
        <f t="shared" si="19"/>
        <v>199</v>
      </c>
      <c r="H263" s="8">
        <v>0</v>
      </c>
      <c r="I263" s="8">
        <v>0</v>
      </c>
      <c r="J263" s="63">
        <f t="shared" si="22"/>
        <v>199</v>
      </c>
    </row>
    <row r="264" spans="1:11" ht="14.95" customHeight="1" x14ac:dyDescent="0.25">
      <c r="A264" s="36" t="s">
        <v>165</v>
      </c>
      <c r="B264" s="35"/>
      <c r="C264" s="8">
        <v>15</v>
      </c>
      <c r="D264" s="10">
        <v>0</v>
      </c>
      <c r="E264" s="10">
        <v>0</v>
      </c>
      <c r="F264" s="10">
        <v>0</v>
      </c>
      <c r="G264" s="127">
        <f t="shared" si="19"/>
        <v>15</v>
      </c>
      <c r="H264" s="8">
        <v>0</v>
      </c>
      <c r="I264" s="8">
        <v>0</v>
      </c>
      <c r="J264" s="63">
        <f t="shared" si="22"/>
        <v>15</v>
      </c>
    </row>
    <row r="265" spans="1:11" ht="14.95" customHeight="1" x14ac:dyDescent="0.25">
      <c r="A265" s="9" t="s">
        <v>166</v>
      </c>
      <c r="B265" s="35"/>
      <c r="C265" s="8">
        <v>500</v>
      </c>
      <c r="D265" s="10">
        <v>0</v>
      </c>
      <c r="E265" s="10">
        <v>-220</v>
      </c>
      <c r="F265" s="10">
        <v>0</v>
      </c>
      <c r="G265" s="127">
        <f t="shared" si="19"/>
        <v>280</v>
      </c>
      <c r="H265" s="8">
        <v>0</v>
      </c>
      <c r="I265" s="8">
        <v>0</v>
      </c>
      <c r="J265" s="63">
        <f t="shared" si="22"/>
        <v>280</v>
      </c>
    </row>
    <row r="266" spans="1:11" ht="27.2" x14ac:dyDescent="0.25">
      <c r="A266" s="9" t="s">
        <v>278</v>
      </c>
      <c r="B266" s="35"/>
      <c r="C266" s="8">
        <v>0</v>
      </c>
      <c r="D266" s="10">
        <v>0</v>
      </c>
      <c r="E266" s="10">
        <v>20</v>
      </c>
      <c r="F266" s="10">
        <v>0</v>
      </c>
      <c r="G266" s="127">
        <f t="shared" si="19"/>
        <v>20</v>
      </c>
      <c r="H266" s="8">
        <v>0</v>
      </c>
      <c r="I266" s="8">
        <v>0</v>
      </c>
      <c r="J266" s="63">
        <f t="shared" si="22"/>
        <v>20</v>
      </c>
    </row>
    <row r="267" spans="1:11" ht="14.95" customHeight="1" x14ac:dyDescent="0.25">
      <c r="A267" s="9" t="s">
        <v>249</v>
      </c>
      <c r="B267" s="35" t="s">
        <v>254</v>
      </c>
      <c r="C267" s="8">
        <v>166.03</v>
      </c>
      <c r="D267" s="61">
        <v>0</v>
      </c>
      <c r="E267" s="61">
        <v>0</v>
      </c>
      <c r="F267" s="61">
        <v>0</v>
      </c>
      <c r="G267" s="127">
        <f t="shared" si="19"/>
        <v>166.03</v>
      </c>
      <c r="H267" s="8">
        <v>0</v>
      </c>
      <c r="I267" s="8">
        <v>0</v>
      </c>
      <c r="J267" s="63">
        <f t="shared" si="22"/>
        <v>166.03</v>
      </c>
    </row>
    <row r="268" spans="1:11" ht="17.7" customHeight="1" thickBot="1" x14ac:dyDescent="0.3">
      <c r="A268" s="11" t="s">
        <v>167</v>
      </c>
      <c r="B268" s="27"/>
      <c r="C268" s="12">
        <v>7583.47</v>
      </c>
      <c r="D268" s="12">
        <f>24.46+178.41</f>
        <v>202.87</v>
      </c>
      <c r="E268" s="12">
        <v>89.9</v>
      </c>
      <c r="F268" s="12">
        <v>0</v>
      </c>
      <c r="G268" s="161">
        <f t="shared" si="19"/>
        <v>7876.24</v>
      </c>
      <c r="H268" s="15">
        <v>280</v>
      </c>
      <c r="I268" s="15">
        <v>0</v>
      </c>
      <c r="J268" s="78">
        <f t="shared" si="22"/>
        <v>8156.24</v>
      </c>
    </row>
    <row r="269" spans="1:11" ht="15.65" customHeight="1" thickBot="1" x14ac:dyDescent="0.3">
      <c r="A269" s="38" t="s">
        <v>168</v>
      </c>
      <c r="B269" s="32"/>
      <c r="C269" s="24">
        <f t="shared" ref="C269:I269" si="23">SUM(C271:C272)</f>
        <v>62816</v>
      </c>
      <c r="D269" s="24">
        <f t="shared" si="23"/>
        <v>0</v>
      </c>
      <c r="E269" s="24">
        <f t="shared" si="23"/>
        <v>0</v>
      </c>
      <c r="F269" s="24">
        <f t="shared" si="23"/>
        <v>0</v>
      </c>
      <c r="G269" s="139">
        <f t="shared" si="23"/>
        <v>62816</v>
      </c>
      <c r="H269" s="24">
        <f t="shared" si="23"/>
        <v>0</v>
      </c>
      <c r="I269" s="24">
        <f t="shared" si="23"/>
        <v>0</v>
      </c>
      <c r="J269" s="116">
        <f t="shared" si="22"/>
        <v>62816</v>
      </c>
      <c r="K269" s="145"/>
    </row>
    <row r="270" spans="1:11" ht="12.9" customHeight="1" x14ac:dyDescent="0.25">
      <c r="A270" s="39" t="s">
        <v>25</v>
      </c>
      <c r="B270" s="29"/>
      <c r="C270" s="8"/>
      <c r="D270" s="8"/>
      <c r="E270" s="8"/>
      <c r="F270" s="8"/>
      <c r="G270" s="127"/>
      <c r="H270" s="8"/>
      <c r="I270" s="8"/>
      <c r="J270" s="63"/>
    </row>
    <row r="271" spans="1:11" ht="14.95" customHeight="1" x14ac:dyDescent="0.25">
      <c r="A271" s="36" t="s">
        <v>27</v>
      </c>
      <c r="B271" s="31"/>
      <c r="C271" s="8">
        <v>400</v>
      </c>
      <c r="D271" s="10">
        <v>0</v>
      </c>
      <c r="E271" s="10">
        <v>0</v>
      </c>
      <c r="F271" s="10">
        <v>0</v>
      </c>
      <c r="G271" s="127">
        <f t="shared" si="19"/>
        <v>400</v>
      </c>
      <c r="H271" s="8">
        <v>0</v>
      </c>
      <c r="I271" s="8">
        <v>0</v>
      </c>
      <c r="J271" s="63">
        <f t="shared" si="22"/>
        <v>400</v>
      </c>
    </row>
    <row r="272" spans="1:11" ht="14.95" customHeight="1" thickBot="1" x14ac:dyDescent="0.3">
      <c r="A272" s="37" t="s">
        <v>169</v>
      </c>
      <c r="B272" s="27"/>
      <c r="C272" s="15">
        <v>62416</v>
      </c>
      <c r="D272" s="12">
        <v>0</v>
      </c>
      <c r="E272" s="12">
        <v>0</v>
      </c>
      <c r="F272" s="12">
        <v>0</v>
      </c>
      <c r="G272" s="161">
        <f t="shared" si="19"/>
        <v>62416</v>
      </c>
      <c r="H272" s="15">
        <v>0</v>
      </c>
      <c r="I272" s="15">
        <v>0</v>
      </c>
      <c r="J272" s="78">
        <f t="shared" si="22"/>
        <v>62416</v>
      </c>
    </row>
    <row r="273" spans="1:11" ht="15.65" customHeight="1" thickBot="1" x14ac:dyDescent="0.3">
      <c r="A273" s="38" t="s">
        <v>170</v>
      </c>
      <c r="B273" s="32"/>
      <c r="C273" s="24">
        <f t="shared" ref="C273:I273" si="24">SUM(C275:C276)</f>
        <v>23860.5</v>
      </c>
      <c r="D273" s="24">
        <f t="shared" si="24"/>
        <v>-312</v>
      </c>
      <c r="E273" s="24">
        <f t="shared" si="24"/>
        <v>2000</v>
      </c>
      <c r="F273" s="24">
        <f t="shared" si="24"/>
        <v>2867.74</v>
      </c>
      <c r="G273" s="139">
        <f t="shared" si="24"/>
        <v>31061.24</v>
      </c>
      <c r="H273" s="24">
        <f t="shared" si="24"/>
        <v>253</v>
      </c>
      <c r="I273" s="24">
        <f t="shared" si="24"/>
        <v>0</v>
      </c>
      <c r="J273" s="116">
        <f>SUM(G273:I273)</f>
        <v>31314.240000000002</v>
      </c>
      <c r="K273" s="145"/>
    </row>
    <row r="274" spans="1:11" ht="14.95" customHeight="1" x14ac:dyDescent="0.25">
      <c r="A274" s="39" t="s">
        <v>25</v>
      </c>
      <c r="B274" s="29"/>
      <c r="C274" s="8"/>
      <c r="D274" s="8"/>
      <c r="E274" s="8"/>
      <c r="F274" s="8"/>
      <c r="G274" s="127"/>
      <c r="H274" s="8"/>
      <c r="I274" s="8"/>
      <c r="J274" s="63"/>
    </row>
    <row r="275" spans="1:11" ht="14.95" customHeight="1" x14ac:dyDescent="0.25">
      <c r="A275" s="9" t="s">
        <v>27</v>
      </c>
      <c r="B275" s="31"/>
      <c r="C275" s="8">
        <v>100</v>
      </c>
      <c r="D275" s="10">
        <v>0</v>
      </c>
      <c r="E275" s="10">
        <v>0</v>
      </c>
      <c r="F275" s="10">
        <f>3.99</f>
        <v>3.99</v>
      </c>
      <c r="G275" s="127">
        <f t="shared" si="19"/>
        <v>103.99</v>
      </c>
      <c r="H275" s="8">
        <v>0</v>
      </c>
      <c r="I275" s="8">
        <v>0</v>
      </c>
      <c r="J275" s="63">
        <f t="shared" si="22"/>
        <v>103.99</v>
      </c>
    </row>
    <row r="276" spans="1:11" ht="14.95" customHeight="1" thickBot="1" x14ac:dyDescent="0.3">
      <c r="A276" s="11" t="s">
        <v>171</v>
      </c>
      <c r="B276" s="27"/>
      <c r="C276" s="12">
        <v>23760.5</v>
      </c>
      <c r="D276" s="12">
        <f>-150-162</f>
        <v>-312</v>
      </c>
      <c r="E276" s="12">
        <v>2000</v>
      </c>
      <c r="F276" s="12">
        <f>413.82+710.13-231+1885.5+85.3</f>
        <v>2863.75</v>
      </c>
      <c r="G276" s="140">
        <f>SUM(C276:F276)+2645</f>
        <v>30957.25</v>
      </c>
      <c r="H276" s="12">
        <v>253</v>
      </c>
      <c r="I276" s="15">
        <v>0</v>
      </c>
      <c r="J276" s="78">
        <f t="shared" si="22"/>
        <v>31210.25</v>
      </c>
    </row>
    <row r="277" spans="1:11" ht="15.8" customHeight="1" thickBot="1" x14ac:dyDescent="0.3">
      <c r="A277" s="45" t="s">
        <v>172</v>
      </c>
      <c r="B277" s="32"/>
      <c r="C277" s="24">
        <f t="shared" ref="C277:I277" si="25">SUM(C279:C280)</f>
        <v>5804</v>
      </c>
      <c r="D277" s="24">
        <f t="shared" si="25"/>
        <v>0</v>
      </c>
      <c r="E277" s="24">
        <f t="shared" si="25"/>
        <v>2675</v>
      </c>
      <c r="F277" s="24">
        <f t="shared" si="25"/>
        <v>198</v>
      </c>
      <c r="G277" s="139">
        <f t="shared" si="25"/>
        <v>8677</v>
      </c>
      <c r="H277" s="24">
        <f t="shared" si="25"/>
        <v>100</v>
      </c>
      <c r="I277" s="24">
        <f t="shared" si="25"/>
        <v>0</v>
      </c>
      <c r="J277" s="116">
        <f t="shared" si="22"/>
        <v>8777</v>
      </c>
      <c r="K277" s="145"/>
    </row>
    <row r="278" spans="1:11" ht="14.95" customHeight="1" x14ac:dyDescent="0.25">
      <c r="A278" s="39" t="s">
        <v>25</v>
      </c>
      <c r="B278" s="29"/>
      <c r="C278" s="8"/>
      <c r="D278" s="8"/>
      <c r="E278" s="8"/>
      <c r="F278" s="8"/>
      <c r="G278" s="127"/>
      <c r="H278" s="8"/>
      <c r="I278" s="8"/>
      <c r="J278" s="63"/>
    </row>
    <row r="279" spans="1:11" ht="14.95" customHeight="1" x14ac:dyDescent="0.25">
      <c r="A279" s="36" t="s">
        <v>27</v>
      </c>
      <c r="B279" s="31"/>
      <c r="C279" s="8">
        <v>410</v>
      </c>
      <c r="D279" s="10">
        <v>0</v>
      </c>
      <c r="E279" s="10">
        <v>0</v>
      </c>
      <c r="F279" s="10">
        <v>0</v>
      </c>
      <c r="G279" s="127">
        <f t="shared" si="19"/>
        <v>410</v>
      </c>
      <c r="H279" s="8">
        <v>0</v>
      </c>
      <c r="I279" s="8">
        <v>0</v>
      </c>
      <c r="J279" s="63">
        <f t="shared" si="22"/>
        <v>410</v>
      </c>
    </row>
    <row r="280" spans="1:11" ht="25.85" customHeight="1" thickBot="1" x14ac:dyDescent="0.3">
      <c r="A280" s="11" t="s">
        <v>173</v>
      </c>
      <c r="B280" s="27"/>
      <c r="C280" s="12">
        <v>5394</v>
      </c>
      <c r="D280" s="12">
        <v>0</v>
      </c>
      <c r="E280" s="12">
        <v>2675</v>
      </c>
      <c r="F280" s="12">
        <f>198</f>
        <v>198</v>
      </c>
      <c r="G280" s="161">
        <f t="shared" si="19"/>
        <v>8267</v>
      </c>
      <c r="H280" s="15">
        <v>100</v>
      </c>
      <c r="I280" s="15">
        <v>0</v>
      </c>
      <c r="J280" s="78">
        <f t="shared" si="22"/>
        <v>8367</v>
      </c>
    </row>
    <row r="281" spans="1:11" ht="16.5" customHeight="1" thickBot="1" x14ac:dyDescent="0.3">
      <c r="A281" s="46" t="s">
        <v>174</v>
      </c>
      <c r="B281" s="47"/>
      <c r="C281" s="48">
        <f>C24+C42+C47+C55+C59+C64+C182+C194+C203+C248+C251+C269+C273+C277</f>
        <v>1647096.9</v>
      </c>
      <c r="D281" s="48">
        <f>SUM(D24+D42+D47+D55+D59+D64+D182+D194+D203+D248+D251+D269+D273+D277)</f>
        <v>3506.05</v>
      </c>
      <c r="E281" s="48">
        <f>SUM(E24+E42+E47+E55+E59+E64+E182+E194+E203+E248+E251+E269+E273+E277)</f>
        <v>65505.52</v>
      </c>
      <c r="F281" s="48">
        <f>SUM(F24+F42+F47+F55+F59+F64+F182+F194+F203+F248+F251+F269+F273+F277)</f>
        <v>26482.32</v>
      </c>
      <c r="G281" s="141">
        <f>SUM(G24+G42+G47+G55+G59+G64+G182+G194+G203+G248+G251+G269+G273+G277)</f>
        <v>1744183.14</v>
      </c>
      <c r="H281" s="48">
        <f>H24+H42+H47+H55+H59+H64+H182+H194+H203+H248+H251+H269+H273+H277</f>
        <v>13945.35</v>
      </c>
      <c r="I281" s="48">
        <f>SUM(I24+I42+I47+I55+I59+I64+I182+I194+I203+I248+I251+I269+I273+I277)</f>
        <v>0</v>
      </c>
      <c r="J281" s="110">
        <f t="shared" si="22"/>
        <v>1758128.49</v>
      </c>
      <c r="K281" s="145"/>
    </row>
    <row r="282" spans="1:11" ht="13.6" customHeight="1" thickBot="1" x14ac:dyDescent="0.3">
      <c r="A282" s="123"/>
      <c r="B282" s="158"/>
      <c r="C282" s="15"/>
      <c r="D282" s="15"/>
      <c r="E282" s="15"/>
      <c r="F282" s="15"/>
      <c r="G282" s="161"/>
      <c r="H282" s="15"/>
      <c r="I282" s="15"/>
      <c r="J282" s="78"/>
    </row>
    <row r="283" spans="1:11" ht="15.8" customHeight="1" thickBot="1" x14ac:dyDescent="0.3">
      <c r="A283" s="124" t="s">
        <v>175</v>
      </c>
      <c r="B283" s="86"/>
      <c r="C283" s="22"/>
      <c r="D283" s="22"/>
      <c r="E283" s="22"/>
      <c r="F283" s="22"/>
      <c r="G283" s="136"/>
      <c r="H283" s="22"/>
      <c r="I283" s="22"/>
      <c r="J283" s="111"/>
    </row>
    <row r="284" spans="1:11" ht="15.65" customHeight="1" thickBot="1" x14ac:dyDescent="0.3">
      <c r="A284" s="122" t="s">
        <v>369</v>
      </c>
      <c r="B284" s="149"/>
      <c r="C284" s="24">
        <f>SUM(C286)</f>
        <v>0</v>
      </c>
      <c r="D284" s="24">
        <f>SUM(D286)</f>
        <v>0</v>
      </c>
      <c r="E284" s="24">
        <f>SUM(E285:E286)</f>
        <v>0</v>
      </c>
      <c r="F284" s="24">
        <f>SUM(F286)</f>
        <v>0</v>
      </c>
      <c r="G284" s="139">
        <f>SUM(G286)</f>
        <v>0</v>
      </c>
      <c r="H284" s="24">
        <f>SUM(H286)</f>
        <v>0</v>
      </c>
      <c r="I284" s="24">
        <f>SUM(I286)</f>
        <v>0</v>
      </c>
      <c r="J284" s="116">
        <f t="shared" si="22"/>
        <v>0</v>
      </c>
      <c r="K284" s="145"/>
    </row>
    <row r="285" spans="1:11" ht="14.95" customHeight="1" x14ac:dyDescent="0.25">
      <c r="A285" s="40" t="s">
        <v>25</v>
      </c>
      <c r="B285" s="29"/>
      <c r="C285" s="8"/>
      <c r="D285" s="8"/>
      <c r="E285" s="8"/>
      <c r="F285" s="8"/>
      <c r="G285" s="127"/>
      <c r="H285" s="8"/>
      <c r="I285" s="8"/>
      <c r="J285" s="63"/>
    </row>
    <row r="286" spans="1:11" ht="14.95" customHeight="1" x14ac:dyDescent="0.25">
      <c r="A286" s="142" t="s">
        <v>370</v>
      </c>
      <c r="B286" s="31"/>
      <c r="C286" s="10">
        <v>0</v>
      </c>
      <c r="D286" s="10">
        <v>0</v>
      </c>
      <c r="E286" s="10">
        <v>0</v>
      </c>
      <c r="F286" s="10">
        <v>0</v>
      </c>
      <c r="G286" s="138">
        <f t="shared" si="19"/>
        <v>0</v>
      </c>
      <c r="H286" s="10">
        <v>0</v>
      </c>
      <c r="I286" s="10">
        <v>0</v>
      </c>
      <c r="J286" s="68">
        <f t="shared" si="22"/>
        <v>0</v>
      </c>
    </row>
    <row r="287" spans="1:11" ht="15.65" customHeight="1" thickBot="1" x14ac:dyDescent="0.3">
      <c r="A287" s="152" t="s">
        <v>176</v>
      </c>
      <c r="B287" s="153"/>
      <c r="C287" s="154">
        <f t="shared" ref="C287:I287" si="26">SUM(C289:C291)</f>
        <v>320</v>
      </c>
      <c r="D287" s="154">
        <f t="shared" si="26"/>
        <v>0</v>
      </c>
      <c r="E287" s="154">
        <f t="shared" si="26"/>
        <v>0</v>
      </c>
      <c r="F287" s="154">
        <f t="shared" si="26"/>
        <v>59.9</v>
      </c>
      <c r="G287" s="155">
        <f t="shared" si="26"/>
        <v>430.5</v>
      </c>
      <c r="H287" s="154">
        <f t="shared" si="26"/>
        <v>0</v>
      </c>
      <c r="I287" s="154">
        <f t="shared" si="26"/>
        <v>0</v>
      </c>
      <c r="J287" s="156">
        <f t="shared" si="22"/>
        <v>430.5</v>
      </c>
      <c r="K287" s="145"/>
    </row>
    <row r="288" spans="1:11" ht="14.95" customHeight="1" x14ac:dyDescent="0.25">
      <c r="A288" s="39" t="s">
        <v>25</v>
      </c>
      <c r="B288" s="29"/>
      <c r="C288" s="8"/>
      <c r="D288" s="8"/>
      <c r="E288" s="8"/>
      <c r="F288" s="8"/>
      <c r="G288" s="127"/>
      <c r="H288" s="8"/>
      <c r="I288" s="8"/>
      <c r="J288" s="63"/>
    </row>
    <row r="289" spans="1:11" ht="14.95" customHeight="1" x14ac:dyDescent="0.25">
      <c r="A289" s="36" t="s">
        <v>177</v>
      </c>
      <c r="B289" s="31"/>
      <c r="C289" s="8">
        <v>0</v>
      </c>
      <c r="D289" s="10">
        <v>0</v>
      </c>
      <c r="E289" s="10">
        <v>0</v>
      </c>
      <c r="F289" s="10">
        <f>59.9</f>
        <v>59.9</v>
      </c>
      <c r="G289" s="127">
        <f>SUM(C289:F289)+50.6</f>
        <v>110.5</v>
      </c>
      <c r="H289" s="8">
        <v>0</v>
      </c>
      <c r="I289" s="8">
        <v>0</v>
      </c>
      <c r="J289" s="63">
        <f t="shared" si="22"/>
        <v>110.5</v>
      </c>
    </row>
    <row r="290" spans="1:11" ht="14.95" customHeight="1" x14ac:dyDescent="0.25">
      <c r="A290" s="36" t="s">
        <v>178</v>
      </c>
      <c r="B290" s="31"/>
      <c r="C290" s="8">
        <v>320</v>
      </c>
      <c r="D290" s="61">
        <v>0</v>
      </c>
      <c r="E290" s="61">
        <v>0</v>
      </c>
      <c r="F290" s="61">
        <v>0</v>
      </c>
      <c r="G290" s="127">
        <f t="shared" si="19"/>
        <v>320</v>
      </c>
      <c r="H290" s="8">
        <v>0</v>
      </c>
      <c r="I290" s="8">
        <v>0</v>
      </c>
      <c r="J290" s="63">
        <f t="shared" si="22"/>
        <v>320</v>
      </c>
    </row>
    <row r="291" spans="1:11" ht="14.95" customHeight="1" thickBot="1" x14ac:dyDescent="0.3">
      <c r="A291" s="37" t="s">
        <v>179</v>
      </c>
      <c r="B291" s="27"/>
      <c r="C291" s="12">
        <v>0</v>
      </c>
      <c r="D291" s="69">
        <v>0</v>
      </c>
      <c r="E291" s="69">
        <v>0</v>
      </c>
      <c r="F291" s="69">
        <v>0</v>
      </c>
      <c r="G291" s="140">
        <f t="shared" si="19"/>
        <v>0</v>
      </c>
      <c r="H291" s="12">
        <v>0</v>
      </c>
      <c r="I291" s="15">
        <v>0</v>
      </c>
      <c r="J291" s="78">
        <f t="shared" si="22"/>
        <v>0</v>
      </c>
    </row>
    <row r="292" spans="1:11" ht="15.65" customHeight="1" thickBot="1" x14ac:dyDescent="0.3">
      <c r="A292" s="159" t="s">
        <v>30</v>
      </c>
      <c r="B292" s="32"/>
      <c r="C292" s="24">
        <f>SUM(C295:C302)</f>
        <v>277123.01</v>
      </c>
      <c r="D292" s="24">
        <f>SUM(D295:D302)</f>
        <v>-83.78</v>
      </c>
      <c r="E292" s="24">
        <f>SUM(E295:E302)</f>
        <v>73861.08</v>
      </c>
      <c r="F292" s="24">
        <f>SUM(F295:F302)</f>
        <v>-632</v>
      </c>
      <c r="G292" s="139">
        <f>SUM(G294:G302)</f>
        <v>350268.31</v>
      </c>
      <c r="H292" s="24">
        <f>SUM(H294:H302)</f>
        <v>12797</v>
      </c>
      <c r="I292" s="24">
        <f>SUM(I294:I302)</f>
        <v>0</v>
      </c>
      <c r="J292" s="116">
        <f t="shared" si="22"/>
        <v>363065.31</v>
      </c>
      <c r="K292" s="145"/>
    </row>
    <row r="293" spans="1:11" ht="14.95" customHeight="1" x14ac:dyDescent="0.25">
      <c r="A293" s="39" t="s">
        <v>25</v>
      </c>
      <c r="B293" s="29"/>
      <c r="C293" s="8"/>
      <c r="D293" s="8"/>
      <c r="E293" s="8"/>
      <c r="F293" s="8"/>
      <c r="G293" s="127"/>
      <c r="H293" s="8"/>
      <c r="I293" s="8"/>
      <c r="J293" s="63"/>
    </row>
    <row r="294" spans="1:11" ht="14.95" customHeight="1" x14ac:dyDescent="0.25">
      <c r="A294" s="39" t="s">
        <v>364</v>
      </c>
      <c r="B294" s="29" t="s">
        <v>363</v>
      </c>
      <c r="C294" s="8">
        <v>0</v>
      </c>
      <c r="D294" s="8"/>
      <c r="E294" s="8"/>
      <c r="F294" s="8"/>
      <c r="G294" s="127">
        <v>0</v>
      </c>
      <c r="H294" s="8">
        <v>12797</v>
      </c>
      <c r="I294" s="8">
        <v>0</v>
      </c>
      <c r="J294" s="63">
        <f t="shared" si="22"/>
        <v>12797</v>
      </c>
    </row>
    <row r="295" spans="1:11" ht="14.95" customHeight="1" x14ac:dyDescent="0.25">
      <c r="A295" s="36" t="s">
        <v>180</v>
      </c>
      <c r="B295" s="31"/>
      <c r="C295" s="8">
        <v>800</v>
      </c>
      <c r="D295" s="10">
        <f>-44.42</f>
        <v>-44.42</v>
      </c>
      <c r="E295" s="10">
        <v>6353.67</v>
      </c>
      <c r="F295" s="10">
        <f>-33</f>
        <v>-33</v>
      </c>
      <c r="G295" s="127">
        <f t="shared" si="19"/>
        <v>7076.25</v>
      </c>
      <c r="H295" s="8">
        <v>0</v>
      </c>
      <c r="I295" s="8">
        <v>0</v>
      </c>
      <c r="J295" s="63">
        <f t="shared" si="22"/>
        <v>7076.25</v>
      </c>
    </row>
    <row r="296" spans="1:11" ht="14.95" customHeight="1" x14ac:dyDescent="0.25">
      <c r="A296" s="36" t="s">
        <v>181</v>
      </c>
      <c r="B296" s="31"/>
      <c r="C296" s="8">
        <v>1550</v>
      </c>
      <c r="D296" s="10">
        <v>0</v>
      </c>
      <c r="E296" s="10">
        <v>3277.84</v>
      </c>
      <c r="F296" s="10">
        <f>-80</f>
        <v>-80</v>
      </c>
      <c r="G296" s="127">
        <f t="shared" si="19"/>
        <v>4747.84</v>
      </c>
      <c r="H296" s="8">
        <v>0</v>
      </c>
      <c r="I296" s="8">
        <v>0</v>
      </c>
      <c r="J296" s="63">
        <f t="shared" si="22"/>
        <v>4747.84</v>
      </c>
    </row>
    <row r="297" spans="1:11" ht="14.95" customHeight="1" x14ac:dyDescent="0.25">
      <c r="A297" s="9" t="s">
        <v>182</v>
      </c>
      <c r="B297" s="31"/>
      <c r="C297" s="8">
        <v>650</v>
      </c>
      <c r="D297" s="10">
        <f>-39.36</f>
        <v>-39.36</v>
      </c>
      <c r="E297" s="10">
        <v>4136.68</v>
      </c>
      <c r="F297" s="10">
        <f>-519</f>
        <v>-519</v>
      </c>
      <c r="G297" s="127">
        <f t="shared" si="19"/>
        <v>4228.3200000000006</v>
      </c>
      <c r="H297" s="8">
        <v>0</v>
      </c>
      <c r="I297" s="8">
        <v>0</v>
      </c>
      <c r="J297" s="63">
        <f t="shared" si="22"/>
        <v>4228.3200000000006</v>
      </c>
    </row>
    <row r="298" spans="1:11" ht="14.95" customHeight="1" x14ac:dyDescent="0.25">
      <c r="A298" s="36" t="s">
        <v>183</v>
      </c>
      <c r="B298" s="31"/>
      <c r="C298" s="8">
        <v>1450</v>
      </c>
      <c r="D298" s="10">
        <v>0</v>
      </c>
      <c r="E298" s="10">
        <v>6683.7</v>
      </c>
      <c r="F298" s="10">
        <v>0</v>
      </c>
      <c r="G298" s="127">
        <f t="shared" si="19"/>
        <v>8133.7</v>
      </c>
      <c r="H298" s="8">
        <v>0</v>
      </c>
      <c r="I298" s="8">
        <v>0</v>
      </c>
      <c r="J298" s="63">
        <f t="shared" si="22"/>
        <v>8133.7</v>
      </c>
    </row>
    <row r="299" spans="1:11" ht="14.95" customHeight="1" x14ac:dyDescent="0.25">
      <c r="A299" s="9" t="s">
        <v>184</v>
      </c>
      <c r="B299" s="31"/>
      <c r="C299" s="10">
        <v>550</v>
      </c>
      <c r="D299" s="10">
        <v>0</v>
      </c>
      <c r="E299" s="10">
        <v>2221</v>
      </c>
      <c r="F299" s="10">
        <v>0</v>
      </c>
      <c r="G299" s="127">
        <f t="shared" si="19"/>
        <v>2771</v>
      </c>
      <c r="H299" s="8">
        <v>0</v>
      </c>
      <c r="I299" s="8">
        <v>0</v>
      </c>
      <c r="J299" s="63">
        <f t="shared" si="22"/>
        <v>2771</v>
      </c>
    </row>
    <row r="300" spans="1:11" ht="14.95" customHeight="1" x14ac:dyDescent="0.25">
      <c r="A300" s="9" t="s">
        <v>185</v>
      </c>
      <c r="B300" s="31"/>
      <c r="C300" s="8">
        <v>14531.5</v>
      </c>
      <c r="D300" s="10">
        <v>0</v>
      </c>
      <c r="E300" s="10">
        <v>0</v>
      </c>
      <c r="F300" s="10">
        <v>0</v>
      </c>
      <c r="G300" s="127">
        <f t="shared" si="19"/>
        <v>14531.5</v>
      </c>
      <c r="H300" s="8">
        <v>0</v>
      </c>
      <c r="I300" s="8">
        <v>0</v>
      </c>
      <c r="J300" s="63">
        <f t="shared" si="22"/>
        <v>14531.5</v>
      </c>
    </row>
    <row r="301" spans="1:11" ht="14.95" customHeight="1" x14ac:dyDescent="0.25">
      <c r="A301" s="9" t="s">
        <v>186</v>
      </c>
      <c r="B301" s="31"/>
      <c r="C301" s="8">
        <v>257591.51</v>
      </c>
      <c r="D301" s="10">
        <v>0</v>
      </c>
      <c r="E301" s="10">
        <v>51188.19</v>
      </c>
      <c r="F301" s="10">
        <v>0</v>
      </c>
      <c r="G301" s="127">
        <f t="shared" si="19"/>
        <v>308779.7</v>
      </c>
      <c r="H301" s="8">
        <v>0</v>
      </c>
      <c r="I301" s="8">
        <v>0</v>
      </c>
      <c r="J301" s="63">
        <f t="shared" si="22"/>
        <v>308779.7</v>
      </c>
    </row>
    <row r="302" spans="1:11" ht="14.95" customHeight="1" thickBot="1" x14ac:dyDescent="0.3">
      <c r="A302" s="37" t="s">
        <v>187</v>
      </c>
      <c r="B302" s="27"/>
      <c r="C302" s="12">
        <v>0</v>
      </c>
      <c r="D302" s="69">
        <v>0</v>
      </c>
      <c r="E302" s="69">
        <v>0</v>
      </c>
      <c r="F302" s="69">
        <v>0</v>
      </c>
      <c r="G302" s="161">
        <f t="shared" si="19"/>
        <v>0</v>
      </c>
      <c r="H302" s="15">
        <v>0</v>
      </c>
      <c r="I302" s="15">
        <v>0</v>
      </c>
      <c r="J302" s="78">
        <f t="shared" si="22"/>
        <v>0</v>
      </c>
    </row>
    <row r="303" spans="1:11" ht="15.65" customHeight="1" thickBot="1" x14ac:dyDescent="0.3">
      <c r="A303" s="159" t="s">
        <v>37</v>
      </c>
      <c r="B303" s="28"/>
      <c r="C303" s="24">
        <f t="shared" ref="C303:I303" si="27">SUM(C305:C306)</f>
        <v>12753.65</v>
      </c>
      <c r="D303" s="24">
        <f t="shared" si="27"/>
        <v>6726.99</v>
      </c>
      <c r="E303" s="24">
        <f t="shared" si="27"/>
        <v>20311.03</v>
      </c>
      <c r="F303" s="24">
        <f t="shared" si="27"/>
        <v>2899.5</v>
      </c>
      <c r="G303" s="139">
        <f t="shared" si="27"/>
        <v>43721.17</v>
      </c>
      <c r="H303" s="24">
        <f t="shared" si="27"/>
        <v>2628</v>
      </c>
      <c r="I303" s="24">
        <f t="shared" si="27"/>
        <v>0</v>
      </c>
      <c r="J303" s="116">
        <f t="shared" si="22"/>
        <v>46349.17</v>
      </c>
      <c r="K303" s="145"/>
    </row>
    <row r="304" spans="1:11" ht="14.95" customHeight="1" x14ac:dyDescent="0.25">
      <c r="A304" s="39" t="s">
        <v>25</v>
      </c>
      <c r="B304" s="29"/>
      <c r="C304" s="8"/>
      <c r="D304" s="8"/>
      <c r="E304" s="8"/>
      <c r="F304" s="8"/>
      <c r="G304" s="127"/>
      <c r="H304" s="8"/>
      <c r="I304" s="8"/>
      <c r="J304" s="63"/>
    </row>
    <row r="305" spans="1:11" ht="14.95" customHeight="1" x14ac:dyDescent="0.25">
      <c r="A305" s="36" t="s">
        <v>177</v>
      </c>
      <c r="B305" s="31"/>
      <c r="C305" s="8">
        <v>11837.48</v>
      </c>
      <c r="D305" s="10">
        <f>5013+480</f>
        <v>5493</v>
      </c>
      <c r="E305" s="10">
        <v>1030.19</v>
      </c>
      <c r="F305" s="10">
        <f>1156.5+1324+71+348</f>
        <v>2899.5</v>
      </c>
      <c r="G305" s="127">
        <f>SUM(C305:F305)+1030</f>
        <v>22290.17</v>
      </c>
      <c r="H305" s="8">
        <v>0</v>
      </c>
      <c r="I305" s="8">
        <v>0</v>
      </c>
      <c r="J305" s="63">
        <f t="shared" si="22"/>
        <v>22290.17</v>
      </c>
    </row>
    <row r="306" spans="1:11" ht="14.95" customHeight="1" thickBot="1" x14ac:dyDescent="0.3">
      <c r="A306" s="11" t="s">
        <v>188</v>
      </c>
      <c r="B306" s="27"/>
      <c r="C306" s="12">
        <v>916.17</v>
      </c>
      <c r="D306" s="12">
        <f>100+1133.99</f>
        <v>1233.99</v>
      </c>
      <c r="E306" s="12">
        <v>19280.84</v>
      </c>
      <c r="F306" s="12">
        <v>0</v>
      </c>
      <c r="G306" s="161">
        <f t="shared" ref="G306:G369" si="28">SUM(C306:F306)</f>
        <v>21431</v>
      </c>
      <c r="H306" s="15">
        <v>2628</v>
      </c>
      <c r="I306" s="15">
        <v>0</v>
      </c>
      <c r="J306" s="78">
        <f t="shared" si="22"/>
        <v>24059</v>
      </c>
    </row>
    <row r="307" spans="1:11" ht="15.8" customHeight="1" thickBot="1" x14ac:dyDescent="0.3">
      <c r="A307" s="38" t="s">
        <v>39</v>
      </c>
      <c r="B307" s="32"/>
      <c r="C307" s="143">
        <f t="shared" ref="C307:I307" si="29">SUM(C309:C310)</f>
        <v>0</v>
      </c>
      <c r="D307" s="85">
        <f t="shared" si="29"/>
        <v>0</v>
      </c>
      <c r="E307" s="85">
        <f t="shared" si="29"/>
        <v>0</v>
      </c>
      <c r="F307" s="85">
        <f t="shared" si="29"/>
        <v>0</v>
      </c>
      <c r="G307" s="144">
        <f t="shared" si="29"/>
        <v>0</v>
      </c>
      <c r="H307" s="143">
        <f t="shared" si="29"/>
        <v>0</v>
      </c>
      <c r="I307" s="143">
        <f t="shared" si="29"/>
        <v>0</v>
      </c>
      <c r="J307" s="116">
        <f t="shared" si="22"/>
        <v>0</v>
      </c>
      <c r="K307" s="145"/>
    </row>
    <row r="308" spans="1:11" ht="14.95" customHeight="1" x14ac:dyDescent="0.25">
      <c r="A308" s="39" t="s">
        <v>25</v>
      </c>
      <c r="B308" s="29"/>
      <c r="C308" s="8"/>
      <c r="D308" s="18"/>
      <c r="E308" s="18"/>
      <c r="F308" s="18"/>
      <c r="G308" s="127"/>
      <c r="H308" s="8"/>
      <c r="I308" s="8"/>
      <c r="J308" s="63"/>
    </row>
    <row r="309" spans="1:11" ht="14.95" customHeight="1" x14ac:dyDescent="0.25">
      <c r="A309" s="36" t="s">
        <v>177</v>
      </c>
      <c r="B309" s="31"/>
      <c r="C309" s="8">
        <v>0</v>
      </c>
      <c r="D309" s="70">
        <v>0</v>
      </c>
      <c r="E309" s="70">
        <v>0</v>
      </c>
      <c r="F309" s="70">
        <v>0</v>
      </c>
      <c r="G309" s="127">
        <f t="shared" si="28"/>
        <v>0</v>
      </c>
      <c r="H309" s="8">
        <v>0</v>
      </c>
      <c r="I309" s="8">
        <v>0</v>
      </c>
      <c r="J309" s="63">
        <f t="shared" si="22"/>
        <v>0</v>
      </c>
    </row>
    <row r="310" spans="1:11" ht="14.95" customHeight="1" thickBot="1" x14ac:dyDescent="0.3">
      <c r="A310" s="37" t="s">
        <v>189</v>
      </c>
      <c r="B310" s="27"/>
      <c r="C310" s="15">
        <v>0</v>
      </c>
      <c r="D310" s="84">
        <v>0</v>
      </c>
      <c r="E310" s="84">
        <v>0</v>
      </c>
      <c r="F310" s="84">
        <v>0</v>
      </c>
      <c r="G310" s="161">
        <f t="shared" si="28"/>
        <v>0</v>
      </c>
      <c r="H310" s="15">
        <v>0</v>
      </c>
      <c r="I310" s="15">
        <v>0</v>
      </c>
      <c r="J310" s="78">
        <f>SUM(G310:I310)</f>
        <v>0</v>
      </c>
    </row>
    <row r="311" spans="1:11" ht="15.65" customHeight="1" thickBot="1" x14ac:dyDescent="0.3">
      <c r="A311" s="38" t="s">
        <v>42</v>
      </c>
      <c r="B311" s="32"/>
      <c r="C311" s="24">
        <f t="shared" ref="C311:I311" si="30">SUM(C313:C329)</f>
        <v>1415</v>
      </c>
      <c r="D311" s="24">
        <f t="shared" si="30"/>
        <v>3495.4700000000003</v>
      </c>
      <c r="E311" s="24">
        <f t="shared" si="30"/>
        <v>4194.12</v>
      </c>
      <c r="F311" s="24">
        <f t="shared" si="30"/>
        <v>255</v>
      </c>
      <c r="G311" s="139">
        <f t="shared" si="30"/>
        <v>9359.59</v>
      </c>
      <c r="H311" s="24">
        <f t="shared" si="30"/>
        <v>1170</v>
      </c>
      <c r="I311" s="24">
        <f t="shared" si="30"/>
        <v>0</v>
      </c>
      <c r="J311" s="116">
        <f>SUM(G311:I311)</f>
        <v>10529.59</v>
      </c>
      <c r="K311" s="145"/>
    </row>
    <row r="312" spans="1:11" ht="14.95" customHeight="1" x14ac:dyDescent="0.25">
      <c r="A312" s="39" t="s">
        <v>25</v>
      </c>
      <c r="B312" s="29"/>
      <c r="C312" s="8"/>
      <c r="D312" s="8"/>
      <c r="E312" s="8"/>
      <c r="F312" s="8"/>
      <c r="G312" s="127"/>
      <c r="H312" s="8"/>
      <c r="I312" s="8"/>
      <c r="J312" s="63"/>
    </row>
    <row r="313" spans="1:11" ht="14.95" customHeight="1" x14ac:dyDescent="0.25">
      <c r="A313" s="36" t="s">
        <v>177</v>
      </c>
      <c r="B313" s="31"/>
      <c r="C313" s="8">
        <v>1415</v>
      </c>
      <c r="D313" s="10">
        <v>130</v>
      </c>
      <c r="E313" s="10">
        <v>0</v>
      </c>
      <c r="F313" s="10">
        <f>70+150+35</f>
        <v>255</v>
      </c>
      <c r="G313" s="127">
        <f t="shared" si="28"/>
        <v>1800</v>
      </c>
      <c r="H313" s="8">
        <v>0</v>
      </c>
      <c r="I313" s="8">
        <v>0</v>
      </c>
      <c r="J313" s="63">
        <f t="shared" si="22"/>
        <v>1800</v>
      </c>
    </row>
    <row r="314" spans="1:11" ht="24.45" customHeight="1" x14ac:dyDescent="0.25">
      <c r="A314" s="9" t="s">
        <v>365</v>
      </c>
      <c r="B314" s="35" t="s">
        <v>228</v>
      </c>
      <c r="C314" s="8">
        <v>0</v>
      </c>
      <c r="D314" s="10"/>
      <c r="E314" s="10"/>
      <c r="F314" s="10"/>
      <c r="G314" s="127">
        <v>0</v>
      </c>
      <c r="H314" s="8">
        <v>170</v>
      </c>
      <c r="I314" s="8">
        <v>0</v>
      </c>
      <c r="J314" s="63">
        <f t="shared" si="22"/>
        <v>170</v>
      </c>
    </row>
    <row r="315" spans="1:11" ht="27.2" customHeight="1" x14ac:dyDescent="0.25">
      <c r="A315" s="9" t="s">
        <v>366</v>
      </c>
      <c r="B315" s="35" t="s">
        <v>228</v>
      </c>
      <c r="C315" s="8">
        <v>0</v>
      </c>
      <c r="D315" s="10"/>
      <c r="E315" s="10"/>
      <c r="F315" s="10"/>
      <c r="G315" s="127">
        <v>0</v>
      </c>
      <c r="H315" s="8">
        <v>600</v>
      </c>
      <c r="I315" s="8">
        <v>0</v>
      </c>
      <c r="J315" s="63">
        <f t="shared" si="22"/>
        <v>600</v>
      </c>
    </row>
    <row r="316" spans="1:11" ht="27.85" customHeight="1" x14ac:dyDescent="0.25">
      <c r="A316" s="9" t="s">
        <v>279</v>
      </c>
      <c r="B316" s="35" t="s">
        <v>228</v>
      </c>
      <c r="C316" s="10">
        <v>0</v>
      </c>
      <c r="D316" s="10">
        <v>0</v>
      </c>
      <c r="E316" s="10">
        <v>8.9</v>
      </c>
      <c r="F316" s="10">
        <v>0</v>
      </c>
      <c r="G316" s="138">
        <f t="shared" si="28"/>
        <v>8.9</v>
      </c>
      <c r="H316" s="10">
        <v>0</v>
      </c>
      <c r="I316" s="8">
        <v>0</v>
      </c>
      <c r="J316" s="63">
        <f t="shared" si="22"/>
        <v>8.9</v>
      </c>
    </row>
    <row r="317" spans="1:11" ht="26.5" customHeight="1" x14ac:dyDescent="0.25">
      <c r="A317" s="11" t="s">
        <v>280</v>
      </c>
      <c r="B317" s="35" t="s">
        <v>228</v>
      </c>
      <c r="C317" s="8">
        <v>0</v>
      </c>
      <c r="D317" s="12">
        <v>0</v>
      </c>
      <c r="E317" s="12">
        <v>50</v>
      </c>
      <c r="F317" s="12">
        <v>0</v>
      </c>
      <c r="G317" s="127">
        <f t="shared" si="28"/>
        <v>50</v>
      </c>
      <c r="H317" s="8">
        <v>0</v>
      </c>
      <c r="I317" s="8">
        <v>0</v>
      </c>
      <c r="J317" s="63">
        <f t="shared" si="22"/>
        <v>50</v>
      </c>
    </row>
    <row r="318" spans="1:11" ht="25.15" customHeight="1" x14ac:dyDescent="0.25">
      <c r="A318" s="9" t="s">
        <v>283</v>
      </c>
      <c r="B318" s="35" t="s">
        <v>228</v>
      </c>
      <c r="C318" s="10">
        <v>0</v>
      </c>
      <c r="D318" s="10">
        <v>0</v>
      </c>
      <c r="E318" s="10">
        <v>1000</v>
      </c>
      <c r="F318" s="10">
        <v>0</v>
      </c>
      <c r="G318" s="138">
        <f t="shared" si="28"/>
        <v>1000</v>
      </c>
      <c r="H318" s="10">
        <v>0</v>
      </c>
      <c r="I318" s="8">
        <v>0</v>
      </c>
      <c r="J318" s="63">
        <f t="shared" si="22"/>
        <v>1000</v>
      </c>
    </row>
    <row r="319" spans="1:11" ht="27.7" customHeight="1" x14ac:dyDescent="0.25">
      <c r="A319" s="9" t="s">
        <v>281</v>
      </c>
      <c r="B319" s="35" t="s">
        <v>228</v>
      </c>
      <c r="C319" s="10">
        <v>0</v>
      </c>
      <c r="D319" s="10">
        <v>0</v>
      </c>
      <c r="E319" s="10">
        <v>200</v>
      </c>
      <c r="F319" s="10">
        <v>0</v>
      </c>
      <c r="G319" s="138">
        <f t="shared" si="28"/>
        <v>200</v>
      </c>
      <c r="H319" s="10">
        <v>0</v>
      </c>
      <c r="I319" s="8">
        <v>0</v>
      </c>
      <c r="J319" s="63">
        <f t="shared" si="22"/>
        <v>200</v>
      </c>
    </row>
    <row r="320" spans="1:11" ht="25.15" customHeight="1" x14ac:dyDescent="0.25">
      <c r="A320" s="9" t="s">
        <v>367</v>
      </c>
      <c r="B320" s="35" t="s">
        <v>228</v>
      </c>
      <c r="C320" s="10">
        <v>0</v>
      </c>
      <c r="D320" s="10"/>
      <c r="E320" s="10"/>
      <c r="F320" s="10"/>
      <c r="G320" s="138">
        <v>0</v>
      </c>
      <c r="H320" s="10">
        <v>400</v>
      </c>
      <c r="I320" s="8">
        <v>0</v>
      </c>
      <c r="J320" s="63">
        <f t="shared" si="22"/>
        <v>400</v>
      </c>
    </row>
    <row r="321" spans="1:11" ht="14.95" customHeight="1" x14ac:dyDescent="0.25">
      <c r="A321" s="9" t="s">
        <v>299</v>
      </c>
      <c r="B321" s="35" t="s">
        <v>228</v>
      </c>
      <c r="C321" s="10">
        <v>0</v>
      </c>
      <c r="D321" s="10">
        <f>1656.6</f>
        <v>1656.6</v>
      </c>
      <c r="E321" s="10">
        <v>0</v>
      </c>
      <c r="F321" s="10">
        <v>0</v>
      </c>
      <c r="G321" s="138">
        <f t="shared" si="28"/>
        <v>1656.6</v>
      </c>
      <c r="H321" s="10">
        <v>0</v>
      </c>
      <c r="I321" s="8">
        <v>0</v>
      </c>
      <c r="J321" s="63">
        <f t="shared" si="22"/>
        <v>1656.6</v>
      </c>
    </row>
    <row r="322" spans="1:11" ht="14.95" customHeight="1" x14ac:dyDescent="0.25">
      <c r="A322" s="11" t="s">
        <v>300</v>
      </c>
      <c r="B322" s="35" t="s">
        <v>228</v>
      </c>
      <c r="C322" s="8">
        <v>0</v>
      </c>
      <c r="D322" s="12">
        <f>97.45</f>
        <v>97.45</v>
      </c>
      <c r="E322" s="12">
        <v>0</v>
      </c>
      <c r="F322" s="12">
        <v>0</v>
      </c>
      <c r="G322" s="127">
        <f t="shared" si="28"/>
        <v>97.45</v>
      </c>
      <c r="H322" s="8">
        <v>0</v>
      </c>
      <c r="I322" s="8">
        <v>0</v>
      </c>
      <c r="J322" s="63">
        <f t="shared" si="22"/>
        <v>97.45</v>
      </c>
    </row>
    <row r="323" spans="1:11" ht="26.5" customHeight="1" x14ac:dyDescent="0.25">
      <c r="A323" s="9" t="s">
        <v>282</v>
      </c>
      <c r="B323" s="35" t="s">
        <v>228</v>
      </c>
      <c r="C323" s="10">
        <v>0</v>
      </c>
      <c r="D323" s="10">
        <v>0</v>
      </c>
      <c r="E323" s="10">
        <v>1800</v>
      </c>
      <c r="F323" s="10">
        <v>0</v>
      </c>
      <c r="G323" s="138">
        <f t="shared" si="28"/>
        <v>1800</v>
      </c>
      <c r="H323" s="10">
        <v>0</v>
      </c>
      <c r="I323" s="8">
        <v>0</v>
      </c>
      <c r="J323" s="63">
        <f t="shared" si="22"/>
        <v>1800</v>
      </c>
    </row>
    <row r="324" spans="1:11" ht="14.95" customHeight="1" x14ac:dyDescent="0.25">
      <c r="A324" s="9" t="s">
        <v>284</v>
      </c>
      <c r="B324" s="35" t="s">
        <v>228</v>
      </c>
      <c r="C324" s="10">
        <v>0</v>
      </c>
      <c r="D324" s="10">
        <v>0</v>
      </c>
      <c r="E324" s="10">
        <v>190</v>
      </c>
      <c r="F324" s="10">
        <v>0</v>
      </c>
      <c r="G324" s="127">
        <f t="shared" si="28"/>
        <v>190</v>
      </c>
      <c r="H324" s="8">
        <v>0</v>
      </c>
      <c r="I324" s="8">
        <v>0</v>
      </c>
      <c r="J324" s="63">
        <f t="shared" si="22"/>
        <v>190</v>
      </c>
    </row>
    <row r="325" spans="1:11" ht="14.95" customHeight="1" x14ac:dyDescent="0.25">
      <c r="A325" s="11" t="s">
        <v>297</v>
      </c>
      <c r="B325" s="35" t="s">
        <v>228</v>
      </c>
      <c r="C325" s="8">
        <v>0</v>
      </c>
      <c r="D325" s="12">
        <f>1521.89</f>
        <v>1521.89</v>
      </c>
      <c r="E325" s="12">
        <v>0</v>
      </c>
      <c r="F325" s="12">
        <v>0</v>
      </c>
      <c r="G325" s="127">
        <f t="shared" si="28"/>
        <v>1521.89</v>
      </c>
      <c r="H325" s="8">
        <v>0</v>
      </c>
      <c r="I325" s="8">
        <v>0</v>
      </c>
      <c r="J325" s="63">
        <f t="shared" si="22"/>
        <v>1521.89</v>
      </c>
    </row>
    <row r="326" spans="1:11" ht="14.95" customHeight="1" x14ac:dyDescent="0.25">
      <c r="A326" s="11" t="s">
        <v>298</v>
      </c>
      <c r="B326" s="35" t="s">
        <v>228</v>
      </c>
      <c r="C326" s="8">
        <v>0</v>
      </c>
      <c r="D326" s="12">
        <f>89.53</f>
        <v>89.53</v>
      </c>
      <c r="E326" s="12">
        <v>0</v>
      </c>
      <c r="F326" s="12">
        <v>0</v>
      </c>
      <c r="G326" s="127">
        <f t="shared" si="28"/>
        <v>89.53</v>
      </c>
      <c r="H326" s="8">
        <v>0</v>
      </c>
      <c r="I326" s="8">
        <v>0</v>
      </c>
      <c r="J326" s="63">
        <f t="shared" ref="J326:J387" si="31">SUM(G326:I326)</f>
        <v>89.53</v>
      </c>
    </row>
    <row r="327" spans="1:11" ht="28.55" customHeight="1" x14ac:dyDescent="0.25">
      <c r="A327" s="9" t="s">
        <v>285</v>
      </c>
      <c r="B327" s="35" t="s">
        <v>228</v>
      </c>
      <c r="C327" s="10">
        <v>0</v>
      </c>
      <c r="D327" s="10">
        <v>0</v>
      </c>
      <c r="E327" s="10">
        <v>245.22</v>
      </c>
      <c r="F327" s="10">
        <v>0</v>
      </c>
      <c r="G327" s="127">
        <f t="shared" si="28"/>
        <v>245.22</v>
      </c>
      <c r="H327" s="8">
        <v>0</v>
      </c>
      <c r="I327" s="8">
        <v>0</v>
      </c>
      <c r="J327" s="63">
        <f t="shared" si="31"/>
        <v>245.22</v>
      </c>
    </row>
    <row r="328" spans="1:11" ht="27.7" customHeight="1" x14ac:dyDescent="0.25">
      <c r="A328" s="9" t="s">
        <v>286</v>
      </c>
      <c r="B328" s="35" t="s">
        <v>228</v>
      </c>
      <c r="C328" s="10">
        <v>0</v>
      </c>
      <c r="D328" s="10">
        <v>0</v>
      </c>
      <c r="E328" s="10">
        <v>700</v>
      </c>
      <c r="F328" s="10">
        <v>0</v>
      </c>
      <c r="G328" s="127">
        <f t="shared" si="28"/>
        <v>700</v>
      </c>
      <c r="H328" s="8">
        <v>0</v>
      </c>
      <c r="I328" s="8">
        <v>0</v>
      </c>
      <c r="J328" s="63">
        <f t="shared" si="31"/>
        <v>700</v>
      </c>
    </row>
    <row r="329" spans="1:11" ht="14.95" customHeight="1" thickBot="1" x14ac:dyDescent="0.3">
      <c r="A329" s="37" t="s">
        <v>190</v>
      </c>
      <c r="B329" s="27"/>
      <c r="C329" s="12">
        <v>0</v>
      </c>
      <c r="D329" s="12">
        <v>0</v>
      </c>
      <c r="E329" s="12">
        <v>0</v>
      </c>
      <c r="F329" s="12">
        <v>0</v>
      </c>
      <c r="G329" s="161">
        <f t="shared" si="28"/>
        <v>0</v>
      </c>
      <c r="H329" s="15">
        <v>0</v>
      </c>
      <c r="I329" s="15">
        <v>0</v>
      </c>
      <c r="J329" s="78">
        <f t="shared" si="31"/>
        <v>0</v>
      </c>
    </row>
    <row r="330" spans="1:11" ht="15.65" customHeight="1" thickBot="1" x14ac:dyDescent="0.3">
      <c r="A330" s="38" t="s">
        <v>105</v>
      </c>
      <c r="B330" s="32"/>
      <c r="C330" s="24">
        <f t="shared" ref="C330:I330" si="32">SUM(C332:C333)</f>
        <v>73386</v>
      </c>
      <c r="D330" s="24">
        <f t="shared" si="32"/>
        <v>0</v>
      </c>
      <c r="E330" s="24">
        <f t="shared" si="32"/>
        <v>17550</v>
      </c>
      <c r="F330" s="24">
        <f t="shared" si="32"/>
        <v>-7300</v>
      </c>
      <c r="G330" s="139">
        <f t="shared" si="32"/>
        <v>83808</v>
      </c>
      <c r="H330" s="24">
        <f t="shared" si="32"/>
        <v>6000</v>
      </c>
      <c r="I330" s="24">
        <f t="shared" si="32"/>
        <v>0</v>
      </c>
      <c r="J330" s="116">
        <f t="shared" si="31"/>
        <v>89808</v>
      </c>
      <c r="K330" s="145"/>
    </row>
    <row r="331" spans="1:11" ht="14.95" customHeight="1" x14ac:dyDescent="0.25">
      <c r="A331" s="39" t="s">
        <v>25</v>
      </c>
      <c r="B331" s="29"/>
      <c r="C331" s="8"/>
      <c r="D331" s="8"/>
      <c r="E331" s="8"/>
      <c r="F331" s="8"/>
      <c r="G331" s="127"/>
      <c r="H331" s="8"/>
      <c r="I331" s="8"/>
      <c r="J331" s="63"/>
    </row>
    <row r="332" spans="1:11" ht="14.95" customHeight="1" x14ac:dyDescent="0.25">
      <c r="A332" s="36" t="s">
        <v>177</v>
      </c>
      <c r="B332" s="31"/>
      <c r="C332" s="8">
        <v>73386</v>
      </c>
      <c r="D332" s="10">
        <v>0</v>
      </c>
      <c r="E332" s="10">
        <v>17550</v>
      </c>
      <c r="F332" s="10">
        <f>80-7380</f>
        <v>-7300</v>
      </c>
      <c r="G332" s="127">
        <f>SUM(C332:F332)+172</f>
        <v>83808</v>
      </c>
      <c r="H332" s="8">
        <v>6000</v>
      </c>
      <c r="I332" s="8">
        <v>0</v>
      </c>
      <c r="J332" s="63">
        <f t="shared" si="31"/>
        <v>89808</v>
      </c>
    </row>
    <row r="333" spans="1:11" ht="14.95" customHeight="1" thickBot="1" x14ac:dyDescent="0.3">
      <c r="A333" s="11" t="s">
        <v>191</v>
      </c>
      <c r="B333" s="27"/>
      <c r="C333" s="12">
        <v>0</v>
      </c>
      <c r="D333" s="69">
        <v>0</v>
      </c>
      <c r="E333" s="69">
        <v>0</v>
      </c>
      <c r="F333" s="69">
        <v>0</v>
      </c>
      <c r="G333" s="140">
        <f t="shared" si="28"/>
        <v>0</v>
      </c>
      <c r="H333" s="12">
        <v>0</v>
      </c>
      <c r="I333" s="15">
        <v>0</v>
      </c>
      <c r="J333" s="78">
        <f t="shared" si="31"/>
        <v>0</v>
      </c>
    </row>
    <row r="334" spans="1:11" ht="15.8" customHeight="1" thickBot="1" x14ac:dyDescent="0.3">
      <c r="A334" s="98" t="s">
        <v>112</v>
      </c>
      <c r="B334" s="32"/>
      <c r="C334" s="24">
        <f t="shared" ref="C334:I334" si="33">SUM(C336:C341)</f>
        <v>11924.69</v>
      </c>
      <c r="D334" s="120">
        <f t="shared" si="33"/>
        <v>-16.579999999999998</v>
      </c>
      <c r="E334" s="121">
        <f t="shared" si="33"/>
        <v>6622.2</v>
      </c>
      <c r="F334" s="121">
        <f t="shared" si="33"/>
        <v>-522.20000000000005</v>
      </c>
      <c r="G334" s="139">
        <f t="shared" si="33"/>
        <v>18008.11</v>
      </c>
      <c r="H334" s="24">
        <f t="shared" si="33"/>
        <v>0</v>
      </c>
      <c r="I334" s="24">
        <f t="shared" si="33"/>
        <v>0</v>
      </c>
      <c r="J334" s="116">
        <f t="shared" si="31"/>
        <v>18008.11</v>
      </c>
      <c r="K334" s="145"/>
    </row>
    <row r="335" spans="1:11" ht="14.95" customHeight="1" x14ac:dyDescent="0.25">
      <c r="A335" s="99" t="s">
        <v>25</v>
      </c>
      <c r="B335" s="29"/>
      <c r="C335" s="8"/>
      <c r="D335" s="62"/>
      <c r="E335" s="93"/>
      <c r="F335" s="93"/>
      <c r="G335" s="127"/>
      <c r="H335" s="8"/>
      <c r="I335" s="8"/>
      <c r="J335" s="63"/>
    </row>
    <row r="336" spans="1:11" ht="14.95" customHeight="1" x14ac:dyDescent="0.25">
      <c r="A336" s="100" t="s">
        <v>177</v>
      </c>
      <c r="B336" s="31"/>
      <c r="C336" s="8">
        <v>1224.69</v>
      </c>
      <c r="D336" s="61">
        <f>-16.58</f>
        <v>-16.579999999999998</v>
      </c>
      <c r="E336" s="94">
        <v>522.20000000000005</v>
      </c>
      <c r="F336" s="94">
        <f>-522.2</f>
        <v>-522.20000000000005</v>
      </c>
      <c r="G336" s="127">
        <f t="shared" si="28"/>
        <v>1208.1100000000001</v>
      </c>
      <c r="H336" s="8">
        <v>0</v>
      </c>
      <c r="I336" s="8">
        <v>0</v>
      </c>
      <c r="J336" s="63">
        <f t="shared" si="31"/>
        <v>1208.1100000000001</v>
      </c>
    </row>
    <row r="337" spans="1:11" ht="27.7" customHeight="1" x14ac:dyDescent="0.25">
      <c r="A337" s="9" t="s">
        <v>193</v>
      </c>
      <c r="B337" s="35" t="s">
        <v>114</v>
      </c>
      <c r="C337" s="8">
        <v>700</v>
      </c>
      <c r="D337" s="61">
        <v>0</v>
      </c>
      <c r="E337" s="61">
        <v>0</v>
      </c>
      <c r="F337" s="61">
        <v>0</v>
      </c>
      <c r="G337" s="127">
        <f t="shared" si="28"/>
        <v>700</v>
      </c>
      <c r="H337" s="8">
        <v>0</v>
      </c>
      <c r="I337" s="8">
        <v>0</v>
      </c>
      <c r="J337" s="63">
        <f t="shared" si="31"/>
        <v>700</v>
      </c>
    </row>
    <row r="338" spans="1:11" ht="26.35" customHeight="1" x14ac:dyDescent="0.25">
      <c r="A338" s="9" t="s">
        <v>246</v>
      </c>
      <c r="B338" s="35" t="s">
        <v>120</v>
      </c>
      <c r="C338" s="8">
        <v>9400</v>
      </c>
      <c r="D338" s="61">
        <v>0</v>
      </c>
      <c r="E338" s="61">
        <v>6100</v>
      </c>
      <c r="F338" s="61">
        <v>0</v>
      </c>
      <c r="G338" s="127">
        <f t="shared" si="28"/>
        <v>15500</v>
      </c>
      <c r="H338" s="8">
        <v>0</v>
      </c>
      <c r="I338" s="8">
        <v>0</v>
      </c>
      <c r="J338" s="63">
        <f t="shared" si="31"/>
        <v>15500</v>
      </c>
    </row>
    <row r="339" spans="1:11" ht="14.95" customHeight="1" x14ac:dyDescent="0.25">
      <c r="A339" s="9" t="s">
        <v>194</v>
      </c>
      <c r="B339" s="35" t="s">
        <v>368</v>
      </c>
      <c r="C339" s="8">
        <v>400</v>
      </c>
      <c r="D339" s="61">
        <v>0</v>
      </c>
      <c r="E339" s="61">
        <v>0</v>
      </c>
      <c r="F339" s="61">
        <v>0</v>
      </c>
      <c r="G339" s="127">
        <f t="shared" si="28"/>
        <v>400</v>
      </c>
      <c r="H339" s="8">
        <v>0</v>
      </c>
      <c r="I339" s="8">
        <v>0</v>
      </c>
      <c r="J339" s="63">
        <f t="shared" si="31"/>
        <v>400</v>
      </c>
    </row>
    <row r="340" spans="1:11" ht="14.95" customHeight="1" x14ac:dyDescent="0.25">
      <c r="A340" s="9" t="s">
        <v>250</v>
      </c>
      <c r="B340" s="35" t="s">
        <v>32</v>
      </c>
      <c r="C340" s="8">
        <v>200</v>
      </c>
      <c r="D340" s="61">
        <v>0</v>
      </c>
      <c r="E340" s="61">
        <v>0</v>
      </c>
      <c r="F340" s="61">
        <v>0</v>
      </c>
      <c r="G340" s="127">
        <f t="shared" si="28"/>
        <v>200</v>
      </c>
      <c r="H340" s="8">
        <v>0</v>
      </c>
      <c r="I340" s="8">
        <v>0</v>
      </c>
      <c r="J340" s="63">
        <f t="shared" si="31"/>
        <v>200</v>
      </c>
    </row>
    <row r="341" spans="1:11" ht="14.95" customHeight="1" thickBot="1" x14ac:dyDescent="0.3">
      <c r="A341" s="11" t="s">
        <v>195</v>
      </c>
      <c r="B341" s="27"/>
      <c r="C341" s="12">
        <v>0</v>
      </c>
      <c r="D341" s="69">
        <v>0</v>
      </c>
      <c r="E341" s="69">
        <v>0</v>
      </c>
      <c r="F341" s="69">
        <v>0</v>
      </c>
      <c r="G341" s="161">
        <f t="shared" si="28"/>
        <v>0</v>
      </c>
      <c r="H341" s="15">
        <v>0</v>
      </c>
      <c r="I341" s="15">
        <v>0</v>
      </c>
      <c r="J341" s="78">
        <f t="shared" si="31"/>
        <v>0</v>
      </c>
    </row>
    <row r="342" spans="1:11" ht="15.65" customHeight="1" thickBot="1" x14ac:dyDescent="0.3">
      <c r="A342" s="38" t="s">
        <v>119</v>
      </c>
      <c r="B342" s="32"/>
      <c r="C342" s="24">
        <f t="shared" ref="C342:I342" si="34">SUM(C344:C346)</f>
        <v>1000</v>
      </c>
      <c r="D342" s="24">
        <f t="shared" si="34"/>
        <v>0</v>
      </c>
      <c r="E342" s="24">
        <f t="shared" si="34"/>
        <v>200</v>
      </c>
      <c r="F342" s="24">
        <f t="shared" si="34"/>
        <v>0</v>
      </c>
      <c r="G342" s="139">
        <f t="shared" si="34"/>
        <v>1200</v>
      </c>
      <c r="H342" s="24">
        <f t="shared" si="34"/>
        <v>0</v>
      </c>
      <c r="I342" s="24">
        <f t="shared" si="34"/>
        <v>0</v>
      </c>
      <c r="J342" s="116">
        <f t="shared" si="31"/>
        <v>1200</v>
      </c>
      <c r="K342" s="145"/>
    </row>
    <row r="343" spans="1:11" ht="14.95" customHeight="1" x14ac:dyDescent="0.25">
      <c r="A343" s="39" t="s">
        <v>25</v>
      </c>
      <c r="B343" s="29"/>
      <c r="C343" s="8"/>
      <c r="D343" s="8"/>
      <c r="E343" s="8"/>
      <c r="F343" s="8"/>
      <c r="G343" s="127"/>
      <c r="H343" s="8"/>
      <c r="I343" s="8"/>
      <c r="J343" s="63"/>
    </row>
    <row r="344" spans="1:11" ht="14.95" customHeight="1" x14ac:dyDescent="0.25">
      <c r="A344" s="9" t="s">
        <v>196</v>
      </c>
      <c r="B344" s="35" t="s">
        <v>228</v>
      </c>
      <c r="C344" s="8">
        <v>1000</v>
      </c>
      <c r="D344" s="10">
        <v>0</v>
      </c>
      <c r="E344" s="10">
        <v>0</v>
      </c>
      <c r="F344" s="10">
        <v>0</v>
      </c>
      <c r="G344" s="127">
        <f t="shared" si="28"/>
        <v>1000</v>
      </c>
      <c r="H344" s="8">
        <v>0</v>
      </c>
      <c r="I344" s="8">
        <v>0</v>
      </c>
      <c r="J344" s="63">
        <f t="shared" si="31"/>
        <v>1000</v>
      </c>
    </row>
    <row r="345" spans="1:11" ht="27.2" customHeight="1" x14ac:dyDescent="0.25">
      <c r="A345" s="9" t="s">
        <v>287</v>
      </c>
      <c r="B345" s="35" t="s">
        <v>228</v>
      </c>
      <c r="C345" s="10">
        <v>0</v>
      </c>
      <c r="D345" s="10">
        <v>0</v>
      </c>
      <c r="E345" s="10">
        <v>200</v>
      </c>
      <c r="F345" s="10">
        <v>0</v>
      </c>
      <c r="G345" s="127">
        <f t="shared" si="28"/>
        <v>200</v>
      </c>
      <c r="H345" s="8">
        <v>0</v>
      </c>
      <c r="I345" s="8">
        <v>0</v>
      </c>
      <c r="J345" s="63">
        <f t="shared" si="31"/>
        <v>200</v>
      </c>
    </row>
    <row r="346" spans="1:11" ht="14.95" customHeight="1" thickBot="1" x14ac:dyDescent="0.3">
      <c r="A346" s="37" t="s">
        <v>197</v>
      </c>
      <c r="B346" s="27"/>
      <c r="C346" s="15">
        <v>0</v>
      </c>
      <c r="D346" s="69">
        <v>0</v>
      </c>
      <c r="E346" s="69">
        <v>0</v>
      </c>
      <c r="F346" s="69">
        <v>0</v>
      </c>
      <c r="G346" s="161">
        <f t="shared" si="28"/>
        <v>0</v>
      </c>
      <c r="H346" s="15">
        <v>0</v>
      </c>
      <c r="I346" s="15">
        <v>0</v>
      </c>
      <c r="J346" s="78">
        <f t="shared" si="31"/>
        <v>0</v>
      </c>
    </row>
    <row r="347" spans="1:11" ht="15.8" customHeight="1" thickBot="1" x14ac:dyDescent="0.3">
      <c r="A347" s="98" t="s">
        <v>152</v>
      </c>
      <c r="B347" s="32"/>
      <c r="C347" s="24">
        <f t="shared" ref="C347:I347" si="35">SUM(C349:C353)</f>
        <v>297185</v>
      </c>
      <c r="D347" s="24">
        <f t="shared" si="35"/>
        <v>-4319</v>
      </c>
      <c r="E347" s="95">
        <f t="shared" si="35"/>
        <v>26830</v>
      </c>
      <c r="F347" s="95">
        <f t="shared" si="35"/>
        <v>410</v>
      </c>
      <c r="G347" s="139">
        <f t="shared" si="35"/>
        <v>320106</v>
      </c>
      <c r="H347" s="24">
        <f t="shared" si="35"/>
        <v>0</v>
      </c>
      <c r="I347" s="24">
        <f t="shared" si="35"/>
        <v>0</v>
      </c>
      <c r="J347" s="116">
        <f t="shared" si="31"/>
        <v>320106</v>
      </c>
      <c r="K347" s="145"/>
    </row>
    <row r="348" spans="1:11" ht="14.95" customHeight="1" x14ac:dyDescent="0.25">
      <c r="A348" s="99" t="s">
        <v>25</v>
      </c>
      <c r="B348" s="29"/>
      <c r="C348" s="8"/>
      <c r="D348" s="8"/>
      <c r="E348" s="96"/>
      <c r="F348" s="96"/>
      <c r="G348" s="127"/>
      <c r="H348" s="8"/>
      <c r="I348" s="8"/>
      <c r="J348" s="63"/>
    </row>
    <row r="349" spans="1:11" ht="14.95" customHeight="1" x14ac:dyDescent="0.25">
      <c r="A349" s="100" t="s">
        <v>177</v>
      </c>
      <c r="B349" s="31"/>
      <c r="C349" s="8">
        <v>122529</v>
      </c>
      <c r="D349" s="10">
        <f>16231+13488+23150</f>
        <v>52869</v>
      </c>
      <c r="E349" s="97">
        <v>13938</v>
      </c>
      <c r="F349" s="97">
        <f>10115+33200+9100+240</f>
        <v>52655</v>
      </c>
      <c r="G349" s="127">
        <f>SUM(C349:F349)+1735</f>
        <v>243726</v>
      </c>
      <c r="H349" s="8">
        <v>0</v>
      </c>
      <c r="I349" s="8">
        <f>7100</f>
        <v>7100</v>
      </c>
      <c r="J349" s="63">
        <f t="shared" si="31"/>
        <v>250826</v>
      </c>
    </row>
    <row r="350" spans="1:11" ht="14.95" customHeight="1" x14ac:dyDescent="0.25">
      <c r="A350" s="9" t="s">
        <v>198</v>
      </c>
      <c r="B350" s="31"/>
      <c r="C350" s="8">
        <v>1000</v>
      </c>
      <c r="D350" s="10">
        <v>0</v>
      </c>
      <c r="E350" s="97">
        <v>0</v>
      </c>
      <c r="F350" s="97">
        <v>0</v>
      </c>
      <c r="G350" s="127">
        <f t="shared" si="28"/>
        <v>1000</v>
      </c>
      <c r="H350" s="8">
        <v>0</v>
      </c>
      <c r="I350" s="8">
        <v>0</v>
      </c>
      <c r="J350" s="63">
        <f t="shared" si="31"/>
        <v>1000</v>
      </c>
    </row>
    <row r="351" spans="1:11" ht="14.95" customHeight="1" x14ac:dyDescent="0.25">
      <c r="A351" s="36" t="s">
        <v>199</v>
      </c>
      <c r="B351" s="31"/>
      <c r="C351" s="8">
        <v>170656</v>
      </c>
      <c r="D351" s="10">
        <f>-16836-13552-650-26150</f>
        <v>-57188</v>
      </c>
      <c r="E351" s="10">
        <v>12892</v>
      </c>
      <c r="F351" s="10">
        <f>-9705-33200-9100-240</f>
        <v>-52245</v>
      </c>
      <c r="G351" s="127">
        <f>SUM(C351:F351)-1735</f>
        <v>72380</v>
      </c>
      <c r="H351" s="8">
        <v>0</v>
      </c>
      <c r="I351" s="8">
        <f>-7100</f>
        <v>-7100</v>
      </c>
      <c r="J351" s="63">
        <f t="shared" si="31"/>
        <v>65280</v>
      </c>
    </row>
    <row r="352" spans="1:11" ht="27.85" customHeight="1" x14ac:dyDescent="0.25">
      <c r="A352" s="9" t="s">
        <v>192</v>
      </c>
      <c r="B352" s="31"/>
      <c r="C352" s="8">
        <v>3000</v>
      </c>
      <c r="D352" s="10">
        <v>0</v>
      </c>
      <c r="E352" s="10">
        <v>0</v>
      </c>
      <c r="F352" s="10">
        <v>0</v>
      </c>
      <c r="G352" s="127">
        <f t="shared" si="28"/>
        <v>3000</v>
      </c>
      <c r="H352" s="8">
        <v>0</v>
      </c>
      <c r="I352" s="8">
        <v>0</v>
      </c>
      <c r="J352" s="63">
        <f t="shared" si="31"/>
        <v>3000</v>
      </c>
    </row>
    <row r="353" spans="1:11" ht="14.95" customHeight="1" thickBot="1" x14ac:dyDescent="0.3">
      <c r="A353" s="37" t="s">
        <v>200</v>
      </c>
      <c r="B353" s="27"/>
      <c r="C353" s="12">
        <v>0</v>
      </c>
      <c r="D353" s="69">
        <v>0</v>
      </c>
      <c r="E353" s="69">
        <v>0</v>
      </c>
      <c r="F353" s="69">
        <v>0</v>
      </c>
      <c r="G353" s="140">
        <f t="shared" si="28"/>
        <v>0</v>
      </c>
      <c r="H353" s="12">
        <v>0</v>
      </c>
      <c r="I353" s="12">
        <v>0</v>
      </c>
      <c r="J353" s="78">
        <f t="shared" si="31"/>
        <v>0</v>
      </c>
    </row>
    <row r="354" spans="1:11" ht="15.65" customHeight="1" thickBot="1" x14ac:dyDescent="0.3">
      <c r="A354" s="38" t="s">
        <v>154</v>
      </c>
      <c r="B354" s="32"/>
      <c r="C354" s="24">
        <f t="shared" ref="C354:I354" si="36">SUM(C356:C360)</f>
        <v>6012.4</v>
      </c>
      <c r="D354" s="24">
        <f t="shared" si="36"/>
        <v>0</v>
      </c>
      <c r="E354" s="24">
        <f t="shared" si="36"/>
        <v>-152.99999999999989</v>
      </c>
      <c r="F354" s="24">
        <f t="shared" si="36"/>
        <v>0</v>
      </c>
      <c r="G354" s="139">
        <f t="shared" si="36"/>
        <v>5859.4000000000005</v>
      </c>
      <c r="H354" s="24">
        <f t="shared" si="36"/>
        <v>0</v>
      </c>
      <c r="I354" s="24">
        <f t="shared" si="36"/>
        <v>0</v>
      </c>
      <c r="J354" s="116">
        <f t="shared" si="31"/>
        <v>5859.4000000000005</v>
      </c>
      <c r="K354" s="145"/>
    </row>
    <row r="355" spans="1:11" ht="14.95" customHeight="1" x14ac:dyDescent="0.25">
      <c r="A355" s="39" t="s">
        <v>25</v>
      </c>
      <c r="B355" s="29"/>
      <c r="C355" s="8"/>
      <c r="D355" s="8"/>
      <c r="E355" s="8"/>
      <c r="F355" s="8"/>
      <c r="G355" s="127"/>
      <c r="H355" s="8"/>
      <c r="I355" s="8"/>
      <c r="J355" s="63"/>
    </row>
    <row r="356" spans="1:11" ht="14.95" customHeight="1" x14ac:dyDescent="0.25">
      <c r="A356" s="36" t="s">
        <v>202</v>
      </c>
      <c r="B356" s="31"/>
      <c r="C356" s="8">
        <v>1000</v>
      </c>
      <c r="D356" s="10">
        <v>0</v>
      </c>
      <c r="E356" s="10">
        <v>0</v>
      </c>
      <c r="F356" s="10">
        <v>0</v>
      </c>
      <c r="G356" s="127">
        <f t="shared" si="28"/>
        <v>1000</v>
      </c>
      <c r="H356" s="8">
        <v>0</v>
      </c>
      <c r="I356" s="8">
        <v>0</v>
      </c>
      <c r="J356" s="63">
        <f t="shared" si="31"/>
        <v>1000</v>
      </c>
    </row>
    <row r="357" spans="1:11" ht="14.95" customHeight="1" x14ac:dyDescent="0.25">
      <c r="A357" s="36" t="s">
        <v>177</v>
      </c>
      <c r="B357" s="31"/>
      <c r="C357" s="8">
        <v>3000</v>
      </c>
      <c r="D357" s="10">
        <v>0</v>
      </c>
      <c r="E357" s="10">
        <v>60</v>
      </c>
      <c r="F357" s="10">
        <f>98.01</f>
        <v>98.01</v>
      </c>
      <c r="G357" s="127">
        <f t="shared" si="28"/>
        <v>3158.01</v>
      </c>
      <c r="H357" s="8">
        <v>0</v>
      </c>
      <c r="I357" s="8">
        <v>0</v>
      </c>
      <c r="J357" s="63">
        <f t="shared" si="31"/>
        <v>3158.01</v>
      </c>
    </row>
    <row r="358" spans="1:11" ht="27.85" customHeight="1" x14ac:dyDescent="0.25">
      <c r="A358" s="9" t="s">
        <v>203</v>
      </c>
      <c r="B358" s="35" t="s">
        <v>252</v>
      </c>
      <c r="C358" s="8">
        <v>2012.4</v>
      </c>
      <c r="D358" s="10">
        <v>0</v>
      </c>
      <c r="E358" s="10">
        <v>-1221.0999999999999</v>
      </c>
      <c r="F358" s="10">
        <v>0</v>
      </c>
      <c r="G358" s="127">
        <f t="shared" si="28"/>
        <v>791.30000000000018</v>
      </c>
      <c r="H358" s="8">
        <v>0</v>
      </c>
      <c r="I358" s="8">
        <v>0</v>
      </c>
      <c r="J358" s="63">
        <f t="shared" si="31"/>
        <v>791.30000000000018</v>
      </c>
    </row>
    <row r="359" spans="1:11" ht="26.35" customHeight="1" x14ac:dyDescent="0.25">
      <c r="A359" s="9" t="s">
        <v>288</v>
      </c>
      <c r="B359" s="35"/>
      <c r="C359" s="10">
        <v>0</v>
      </c>
      <c r="D359" s="10">
        <v>0</v>
      </c>
      <c r="E359" s="10">
        <v>200</v>
      </c>
      <c r="F359" s="10">
        <v>0</v>
      </c>
      <c r="G359" s="138">
        <f t="shared" si="28"/>
        <v>200</v>
      </c>
      <c r="H359" s="10">
        <v>0</v>
      </c>
      <c r="I359" s="8">
        <v>0</v>
      </c>
      <c r="J359" s="63">
        <f t="shared" si="31"/>
        <v>200</v>
      </c>
    </row>
    <row r="360" spans="1:11" ht="14.95" customHeight="1" thickBot="1" x14ac:dyDescent="0.3">
      <c r="A360" s="11" t="s">
        <v>204</v>
      </c>
      <c r="B360" s="27"/>
      <c r="C360" s="12">
        <v>0</v>
      </c>
      <c r="D360" s="69">
        <v>0</v>
      </c>
      <c r="E360" s="69">
        <v>808.1</v>
      </c>
      <c r="F360" s="69">
        <f>-98.01</f>
        <v>-98.01</v>
      </c>
      <c r="G360" s="161">
        <f t="shared" si="28"/>
        <v>710.09</v>
      </c>
      <c r="H360" s="15">
        <v>0</v>
      </c>
      <c r="I360" s="15">
        <v>0</v>
      </c>
      <c r="J360" s="78">
        <f t="shared" si="31"/>
        <v>710.09</v>
      </c>
    </row>
    <row r="361" spans="1:11" ht="15.8" customHeight="1" thickBot="1" x14ac:dyDescent="0.3">
      <c r="A361" s="38" t="s">
        <v>168</v>
      </c>
      <c r="B361" s="32"/>
      <c r="C361" s="143">
        <f t="shared" ref="C361:I361" si="37">SUM(C363)</f>
        <v>0</v>
      </c>
      <c r="D361" s="143">
        <f t="shared" si="37"/>
        <v>0</v>
      </c>
      <c r="E361" s="143">
        <f t="shared" si="37"/>
        <v>80</v>
      </c>
      <c r="F361" s="143">
        <f t="shared" si="37"/>
        <v>0</v>
      </c>
      <c r="G361" s="144">
        <f t="shared" si="37"/>
        <v>80</v>
      </c>
      <c r="H361" s="143">
        <f t="shared" si="37"/>
        <v>0</v>
      </c>
      <c r="I361" s="143">
        <f t="shared" si="37"/>
        <v>0</v>
      </c>
      <c r="J361" s="116">
        <f t="shared" si="31"/>
        <v>80</v>
      </c>
      <c r="K361" s="145"/>
    </row>
    <row r="362" spans="1:11" ht="14.95" customHeight="1" x14ac:dyDescent="0.25">
      <c r="A362" s="39" t="s">
        <v>25</v>
      </c>
      <c r="B362" s="29"/>
      <c r="C362" s="8"/>
      <c r="D362" s="8"/>
      <c r="E362" s="8"/>
      <c r="F362" s="8"/>
      <c r="G362" s="127"/>
      <c r="H362" s="8"/>
      <c r="I362" s="8"/>
      <c r="J362" s="63"/>
    </row>
    <row r="363" spans="1:11" ht="14.95" customHeight="1" thickBot="1" x14ac:dyDescent="0.3">
      <c r="A363" s="37" t="s">
        <v>177</v>
      </c>
      <c r="B363" s="27"/>
      <c r="C363" s="15">
        <v>0</v>
      </c>
      <c r="D363" s="12">
        <v>0</v>
      </c>
      <c r="E363" s="12">
        <v>80</v>
      </c>
      <c r="F363" s="12">
        <v>0</v>
      </c>
      <c r="G363" s="161">
        <f t="shared" si="28"/>
        <v>80</v>
      </c>
      <c r="H363" s="15">
        <v>0</v>
      </c>
      <c r="I363" s="15">
        <v>0</v>
      </c>
      <c r="J363" s="78">
        <f t="shared" si="31"/>
        <v>80</v>
      </c>
    </row>
    <row r="364" spans="1:11" ht="15.8" customHeight="1" thickBot="1" x14ac:dyDescent="0.3">
      <c r="A364" s="38" t="s">
        <v>170</v>
      </c>
      <c r="B364" s="32"/>
      <c r="C364" s="24">
        <f t="shared" ref="C364:I364" si="38">SUM(C366)</f>
        <v>23683.5</v>
      </c>
      <c r="D364" s="24">
        <f t="shared" si="38"/>
        <v>312</v>
      </c>
      <c r="E364" s="24">
        <f t="shared" si="38"/>
        <v>9220</v>
      </c>
      <c r="F364" s="24">
        <f t="shared" si="38"/>
        <v>-2863.75</v>
      </c>
      <c r="G364" s="139">
        <f t="shared" si="38"/>
        <v>27706.75</v>
      </c>
      <c r="H364" s="24">
        <f t="shared" si="38"/>
        <v>0</v>
      </c>
      <c r="I364" s="24">
        <f t="shared" si="38"/>
        <v>0</v>
      </c>
      <c r="J364" s="116">
        <f t="shared" si="31"/>
        <v>27706.75</v>
      </c>
      <c r="K364" s="145"/>
    </row>
    <row r="365" spans="1:11" ht="14.95" customHeight="1" x14ac:dyDescent="0.25">
      <c r="A365" s="39" t="s">
        <v>25</v>
      </c>
      <c r="B365" s="29"/>
      <c r="C365" s="8"/>
      <c r="D365" s="8"/>
      <c r="E365" s="8"/>
      <c r="F365" s="8"/>
      <c r="G365" s="127"/>
      <c r="H365" s="8"/>
      <c r="I365" s="8"/>
      <c r="J365" s="63"/>
    </row>
    <row r="366" spans="1:11" ht="14.95" customHeight="1" thickBot="1" x14ac:dyDescent="0.3">
      <c r="A366" s="37" t="s">
        <v>177</v>
      </c>
      <c r="B366" s="27"/>
      <c r="C366" s="12">
        <v>23683.5</v>
      </c>
      <c r="D366" s="12">
        <f>150+162</f>
        <v>312</v>
      </c>
      <c r="E366" s="12">
        <v>9220</v>
      </c>
      <c r="F366" s="12">
        <f>-413.82-710.13+231-1885.5-85.3</f>
        <v>-2863.75</v>
      </c>
      <c r="G366" s="161">
        <f>SUM(C366:F366)-2645</f>
        <v>27706.75</v>
      </c>
      <c r="H366" s="15">
        <v>0</v>
      </c>
      <c r="I366" s="15">
        <v>0</v>
      </c>
      <c r="J366" s="78">
        <f t="shared" si="31"/>
        <v>27706.75</v>
      </c>
    </row>
    <row r="367" spans="1:11" ht="15.65" customHeight="1" thickBot="1" x14ac:dyDescent="0.3">
      <c r="A367" s="45" t="s">
        <v>172</v>
      </c>
      <c r="B367" s="32"/>
      <c r="C367" s="24">
        <f t="shared" ref="C367:I367" si="39">SUM(C369:C370)</f>
        <v>1000</v>
      </c>
      <c r="D367" s="24">
        <f t="shared" si="39"/>
        <v>0</v>
      </c>
      <c r="E367" s="24">
        <f t="shared" si="39"/>
        <v>11500</v>
      </c>
      <c r="F367" s="24">
        <f t="shared" si="39"/>
        <v>0</v>
      </c>
      <c r="G367" s="139">
        <f t="shared" si="39"/>
        <v>12500</v>
      </c>
      <c r="H367" s="24">
        <f t="shared" si="39"/>
        <v>0</v>
      </c>
      <c r="I367" s="24">
        <f t="shared" si="39"/>
        <v>0</v>
      </c>
      <c r="J367" s="116">
        <f t="shared" si="31"/>
        <v>12500</v>
      </c>
      <c r="K367" s="145"/>
    </row>
    <row r="368" spans="1:11" ht="14.95" customHeight="1" x14ac:dyDescent="0.25">
      <c r="A368" s="39" t="s">
        <v>25</v>
      </c>
      <c r="B368" s="29"/>
      <c r="C368" s="8"/>
      <c r="D368" s="8"/>
      <c r="E368" s="8"/>
      <c r="F368" s="8"/>
      <c r="G368" s="127"/>
      <c r="H368" s="8"/>
      <c r="I368" s="8"/>
      <c r="J368" s="63"/>
    </row>
    <row r="369" spans="1:11" ht="14.95" customHeight="1" x14ac:dyDescent="0.25">
      <c r="A369" s="36" t="s">
        <v>177</v>
      </c>
      <c r="B369" s="31"/>
      <c r="C369" s="8">
        <v>0</v>
      </c>
      <c r="D369" s="10">
        <v>0</v>
      </c>
      <c r="E369" s="10">
        <v>11500</v>
      </c>
      <c r="F369" s="10">
        <v>0</v>
      </c>
      <c r="G369" s="127">
        <f t="shared" si="28"/>
        <v>11500</v>
      </c>
      <c r="H369" s="8">
        <v>0</v>
      </c>
      <c r="I369" s="8">
        <v>0</v>
      </c>
      <c r="J369" s="63">
        <f t="shared" si="31"/>
        <v>11500</v>
      </c>
    </row>
    <row r="370" spans="1:11" ht="30.1" customHeight="1" thickBot="1" x14ac:dyDescent="0.3">
      <c r="A370" s="55" t="s">
        <v>205</v>
      </c>
      <c r="B370" s="54" t="s">
        <v>228</v>
      </c>
      <c r="C370" s="15">
        <v>1000</v>
      </c>
      <c r="D370" s="12">
        <v>0</v>
      </c>
      <c r="E370" s="12">
        <v>0</v>
      </c>
      <c r="F370" s="12">
        <v>0</v>
      </c>
      <c r="G370" s="161">
        <f>SUM(C370:F370)</f>
        <v>1000</v>
      </c>
      <c r="H370" s="15">
        <v>0</v>
      </c>
      <c r="I370" s="15">
        <v>0</v>
      </c>
      <c r="J370" s="78">
        <f t="shared" si="31"/>
        <v>1000</v>
      </c>
    </row>
    <row r="371" spans="1:11" ht="17.350000000000001" customHeight="1" thickBot="1" x14ac:dyDescent="0.3">
      <c r="A371" s="46" t="s">
        <v>206</v>
      </c>
      <c r="B371" s="47"/>
      <c r="C371" s="48">
        <f>C284+C287+C292+C303+C307+C311+C330+C334+C342+C347+C354+C361+C364+C367</f>
        <v>705803.25000000012</v>
      </c>
      <c r="D371" s="48">
        <f>SUM(D284+D287+D292+D303+D307+D311+D330+D334+D342+D347+D354+D361+D364+D367)</f>
        <v>6115.1</v>
      </c>
      <c r="E371" s="48">
        <f>SUM(E284+E287+E292+E303+E307+E311+E330+E334+E342+E347+E354+E361+E364+E367)</f>
        <v>170215.43</v>
      </c>
      <c r="F371" s="48">
        <f>SUM(F284+F287+F292+F303+F307+F311+F330+F334+F342+F347+F354+F361+F364+F367)</f>
        <v>-7693.55</v>
      </c>
      <c r="G371" s="141">
        <f>SUM(G284+G287+G292+G303+G307+G311+G330+G334+G342+G347+G354+G361+G364+G367)</f>
        <v>873047.83</v>
      </c>
      <c r="H371" s="48">
        <f>H284+H287+H292+H303+H307+H311+H330+H334+H342+H347+H354+H361+H364+H367</f>
        <v>22595</v>
      </c>
      <c r="I371" s="48">
        <f>SUM(I284+I287+I292+I303+I307+I311+I330+I334+I342+I347+I354+I361+I364+I367)</f>
        <v>0</v>
      </c>
      <c r="J371" s="110">
        <f t="shared" si="31"/>
        <v>895642.83</v>
      </c>
      <c r="K371" s="145"/>
    </row>
    <row r="372" spans="1:11" ht="18" customHeight="1" thickBot="1" x14ac:dyDescent="0.3">
      <c r="A372" s="82" t="s">
        <v>207</v>
      </c>
      <c r="B372" s="83"/>
      <c r="C372" s="48">
        <f>C281+C371</f>
        <v>2352900.15</v>
      </c>
      <c r="D372" s="48">
        <f>SUM(D281+D371)</f>
        <v>9621.1500000000015</v>
      </c>
      <c r="E372" s="48">
        <f>SUM(E281+E371)</f>
        <v>235720.94999999998</v>
      </c>
      <c r="F372" s="48">
        <f>SUM(F281+F371)</f>
        <v>18788.77</v>
      </c>
      <c r="G372" s="141">
        <f>SUM(G281+G371)</f>
        <v>2617230.9699999997</v>
      </c>
      <c r="H372" s="48">
        <f>H281+H371</f>
        <v>36540.35</v>
      </c>
      <c r="I372" s="48">
        <f>SUM(I281+I371)</f>
        <v>0</v>
      </c>
      <c r="J372" s="110">
        <f t="shared" si="31"/>
        <v>2653771.3199999998</v>
      </c>
      <c r="K372" s="145"/>
    </row>
    <row r="373" spans="1:11" ht="14.95" customHeight="1" thickBot="1" x14ac:dyDescent="0.3">
      <c r="A373" s="105"/>
      <c r="B373" s="106"/>
      <c r="C373" s="15"/>
      <c r="D373" s="15"/>
      <c r="E373" s="15"/>
      <c r="F373" s="15"/>
      <c r="G373" s="161"/>
      <c r="H373" s="15"/>
      <c r="I373" s="15"/>
      <c r="J373" s="78"/>
    </row>
    <row r="374" spans="1:11" ht="14.95" customHeight="1" thickBot="1" x14ac:dyDescent="0.3">
      <c r="A374" s="16" t="s">
        <v>208</v>
      </c>
      <c r="B374" s="49"/>
      <c r="C374" s="17"/>
      <c r="D374" s="17"/>
      <c r="E374" s="17"/>
      <c r="F374" s="17"/>
      <c r="G374" s="133"/>
      <c r="H374" s="17"/>
      <c r="I374" s="17"/>
      <c r="J374" s="114"/>
    </row>
    <row r="375" spans="1:11" ht="14.95" customHeight="1" x14ac:dyDescent="0.25">
      <c r="A375" s="7" t="s">
        <v>209</v>
      </c>
      <c r="B375" s="29"/>
      <c r="C375" s="8">
        <v>12800</v>
      </c>
      <c r="D375" s="8">
        <v>0</v>
      </c>
      <c r="E375" s="8">
        <v>1014.79</v>
      </c>
      <c r="F375" s="8">
        <v>0</v>
      </c>
      <c r="G375" s="127">
        <f t="shared" ref="G375:G387" si="40">SUM(C375:F375)</f>
        <v>13814.79</v>
      </c>
      <c r="H375" s="8">
        <v>0</v>
      </c>
      <c r="I375" s="8">
        <v>0</v>
      </c>
      <c r="J375" s="63">
        <f t="shared" si="31"/>
        <v>13814.79</v>
      </c>
    </row>
    <row r="376" spans="1:11" ht="14.95" customHeight="1" x14ac:dyDescent="0.25">
      <c r="A376" s="9" t="s">
        <v>210</v>
      </c>
      <c r="B376" s="31"/>
      <c r="C376" s="8">
        <v>0</v>
      </c>
      <c r="D376" s="61">
        <v>0</v>
      </c>
      <c r="E376" s="61">
        <v>0</v>
      </c>
      <c r="F376" s="62">
        <v>0</v>
      </c>
      <c r="G376" s="127">
        <f>SUM(C376:F376)</f>
        <v>0</v>
      </c>
      <c r="H376" s="8">
        <v>0</v>
      </c>
      <c r="I376" s="8">
        <v>0</v>
      </c>
      <c r="J376" s="63">
        <f t="shared" si="31"/>
        <v>0</v>
      </c>
    </row>
    <row r="377" spans="1:11" ht="14.95" customHeight="1" x14ac:dyDescent="0.25">
      <c r="A377" s="9" t="s">
        <v>211</v>
      </c>
      <c r="B377" s="31"/>
      <c r="C377" s="8">
        <v>0</v>
      </c>
      <c r="D377" s="61">
        <v>0</v>
      </c>
      <c r="E377" s="61">
        <v>0</v>
      </c>
      <c r="F377" s="62">
        <v>0</v>
      </c>
      <c r="G377" s="127">
        <f t="shared" si="40"/>
        <v>0</v>
      </c>
      <c r="H377" s="8">
        <v>0</v>
      </c>
      <c r="I377" s="8">
        <v>0</v>
      </c>
      <c r="J377" s="63">
        <f t="shared" si="31"/>
        <v>0</v>
      </c>
    </row>
    <row r="378" spans="1:11" ht="14.95" customHeight="1" x14ac:dyDescent="0.25">
      <c r="A378" s="9" t="s">
        <v>212</v>
      </c>
      <c r="B378" s="31"/>
      <c r="C378" s="8">
        <v>5451</v>
      </c>
      <c r="D378" s="61">
        <v>0</v>
      </c>
      <c r="E378" s="61">
        <v>0</v>
      </c>
      <c r="F378" s="62">
        <v>0</v>
      </c>
      <c r="G378" s="127">
        <f>SUM(C378:F378)</f>
        <v>5451</v>
      </c>
      <c r="H378" s="8">
        <v>0</v>
      </c>
      <c r="I378" s="8">
        <v>0</v>
      </c>
      <c r="J378" s="63">
        <f t="shared" si="31"/>
        <v>5451</v>
      </c>
    </row>
    <row r="379" spans="1:11" ht="14.95" customHeight="1" x14ac:dyDescent="0.25">
      <c r="A379" s="9" t="s">
        <v>213</v>
      </c>
      <c r="B379" s="31"/>
      <c r="C379" s="8">
        <v>0</v>
      </c>
      <c r="D379" s="61">
        <v>0</v>
      </c>
      <c r="E379" s="61">
        <v>0</v>
      </c>
      <c r="F379" s="62">
        <v>0</v>
      </c>
      <c r="G379" s="127">
        <f t="shared" si="40"/>
        <v>0</v>
      </c>
      <c r="H379" s="8">
        <v>0</v>
      </c>
      <c r="I379" s="8">
        <v>0</v>
      </c>
      <c r="J379" s="63">
        <f t="shared" si="31"/>
        <v>0</v>
      </c>
    </row>
    <row r="380" spans="1:11" ht="14.95" customHeight="1" x14ac:dyDescent="0.25">
      <c r="A380" s="9" t="s">
        <v>214</v>
      </c>
      <c r="B380" s="31"/>
      <c r="C380" s="8">
        <v>0</v>
      </c>
      <c r="D380" s="61">
        <v>0</v>
      </c>
      <c r="E380" s="61">
        <v>0</v>
      </c>
      <c r="F380" s="62">
        <v>0</v>
      </c>
      <c r="G380" s="127">
        <f t="shared" si="40"/>
        <v>0</v>
      </c>
      <c r="H380" s="8">
        <v>0</v>
      </c>
      <c r="I380" s="8">
        <v>0</v>
      </c>
      <c r="J380" s="63">
        <f t="shared" si="31"/>
        <v>0</v>
      </c>
    </row>
    <row r="381" spans="1:11" ht="14.95" customHeight="1" thickBot="1" x14ac:dyDescent="0.3">
      <c r="A381" s="90" t="s">
        <v>215</v>
      </c>
      <c r="B381" s="27"/>
      <c r="C381" s="91">
        <v>73897</v>
      </c>
      <c r="D381" s="92">
        <v>0</v>
      </c>
      <c r="E381" s="92">
        <v>0.1</v>
      </c>
      <c r="F381" s="102">
        <v>0</v>
      </c>
      <c r="G381" s="161">
        <f t="shared" si="40"/>
        <v>73897.100000000006</v>
      </c>
      <c r="H381" s="15">
        <v>0</v>
      </c>
      <c r="I381" s="15">
        <v>0</v>
      </c>
      <c r="J381" s="78">
        <f t="shared" si="31"/>
        <v>73897.100000000006</v>
      </c>
    </row>
    <row r="382" spans="1:11" ht="17.350000000000001" customHeight="1" thickBot="1" x14ac:dyDescent="0.3">
      <c r="A382" s="16" t="s">
        <v>216</v>
      </c>
      <c r="B382" s="50"/>
      <c r="C382" s="66">
        <f t="shared" ref="C382:I382" si="41">SUM(C375:C381)</f>
        <v>92148</v>
      </c>
      <c r="D382" s="80">
        <f t="shared" si="41"/>
        <v>0</v>
      </c>
      <c r="E382" s="80">
        <f t="shared" si="41"/>
        <v>1014.89</v>
      </c>
      <c r="F382" s="80">
        <f t="shared" si="41"/>
        <v>0</v>
      </c>
      <c r="G382" s="134">
        <f t="shared" si="41"/>
        <v>93162.890000000014</v>
      </c>
      <c r="H382" s="66">
        <f t="shared" si="41"/>
        <v>0</v>
      </c>
      <c r="I382" s="66">
        <f t="shared" si="41"/>
        <v>0</v>
      </c>
      <c r="J382" s="113">
        <f t="shared" si="31"/>
        <v>93162.890000000014</v>
      </c>
      <c r="K382" s="145"/>
    </row>
    <row r="383" spans="1:11" ht="18.7" customHeight="1" thickBot="1" x14ac:dyDescent="0.3">
      <c r="A383" s="20" t="s">
        <v>217</v>
      </c>
      <c r="B383" s="51"/>
      <c r="C383" s="67">
        <f>C372+C382</f>
        <v>2445048.15</v>
      </c>
      <c r="D383" s="81">
        <f>SUM(D372+D382)</f>
        <v>9621.1500000000015</v>
      </c>
      <c r="E383" s="81">
        <f>E372+E382</f>
        <v>236735.84</v>
      </c>
      <c r="F383" s="81">
        <f>SUM(F372+F382)</f>
        <v>18788.77</v>
      </c>
      <c r="G383" s="135">
        <f>SUM(G372+G382)</f>
        <v>2710393.86</v>
      </c>
      <c r="H383" s="67">
        <f>H372+H382</f>
        <v>36540.35</v>
      </c>
      <c r="I383" s="67" cm="1">
        <f t="array" ref="I383">SUM(I371:I372+I382)</f>
        <v>0</v>
      </c>
      <c r="J383" s="115">
        <f t="shared" si="31"/>
        <v>2746934.21</v>
      </c>
      <c r="K383" s="145"/>
    </row>
    <row r="384" spans="1:11" ht="12.75" customHeight="1" thickBot="1" x14ac:dyDescent="0.3">
      <c r="A384" s="107"/>
      <c r="B384" s="106"/>
      <c r="C384" s="15"/>
      <c r="D384" s="108"/>
      <c r="E384" s="108"/>
      <c r="F384" s="108"/>
      <c r="G384" s="161"/>
      <c r="H384" s="15"/>
      <c r="I384" s="15"/>
      <c r="J384" s="78"/>
    </row>
    <row r="385" spans="1:11" ht="29.25" customHeight="1" thickBot="1" x14ac:dyDescent="0.3">
      <c r="A385" s="16" t="s">
        <v>218</v>
      </c>
      <c r="B385" s="49"/>
      <c r="C385" s="17"/>
      <c r="D385" s="79"/>
      <c r="E385" s="79"/>
      <c r="F385" s="79"/>
      <c r="G385" s="133"/>
      <c r="H385" s="17"/>
      <c r="I385" s="17"/>
      <c r="J385" s="114"/>
    </row>
    <row r="386" spans="1:11" ht="14.95" customHeight="1" thickBot="1" x14ac:dyDescent="0.3">
      <c r="A386" s="14" t="s">
        <v>219</v>
      </c>
      <c r="B386" s="53"/>
      <c r="C386" s="15">
        <v>0</v>
      </c>
      <c r="D386" s="109">
        <v>0</v>
      </c>
      <c r="E386" s="109">
        <v>0</v>
      </c>
      <c r="F386" s="109">
        <v>0</v>
      </c>
      <c r="G386" s="161">
        <f t="shared" si="40"/>
        <v>0</v>
      </c>
      <c r="H386" s="15">
        <v>0</v>
      </c>
      <c r="I386" s="15">
        <v>0</v>
      </c>
      <c r="J386" s="78">
        <f t="shared" si="31"/>
        <v>0</v>
      </c>
    </row>
    <row r="387" spans="1:11" ht="29.25" thickBot="1" x14ac:dyDescent="0.3">
      <c r="A387" s="16" t="s">
        <v>220</v>
      </c>
      <c r="B387" s="50"/>
      <c r="C387" s="66">
        <f>SUM(C386)</f>
        <v>0</v>
      </c>
      <c r="D387" s="80">
        <v>0</v>
      </c>
      <c r="E387" s="80">
        <f>SUM(E386)</f>
        <v>0</v>
      </c>
      <c r="F387" s="80">
        <v>0</v>
      </c>
      <c r="G387" s="134">
        <f t="shared" si="40"/>
        <v>0</v>
      </c>
      <c r="H387" s="66">
        <f>SUM(H386)</f>
        <v>0</v>
      </c>
      <c r="I387" s="66">
        <v>0</v>
      </c>
      <c r="J387" s="113">
        <f t="shared" si="31"/>
        <v>0</v>
      </c>
      <c r="K387" s="145"/>
    </row>
    <row r="388" spans="1:11" ht="9" customHeight="1" x14ac:dyDescent="0.25"/>
    <row r="389" spans="1:11" ht="11.25" customHeight="1" x14ac:dyDescent="0.25">
      <c r="A389" s="52"/>
      <c r="B389" s="151"/>
    </row>
    <row r="390" spans="1:11" hidden="1" x14ac:dyDescent="0.25">
      <c r="A390" s="52"/>
      <c r="B390" s="151"/>
    </row>
  </sheetData>
  <sheetProtection algorithmName="SHA-512" hashValue="hbtH25wA903Bpuk7Y4jzkabTSZdjab9hTC4JsVzDIU/f101q0egA10s+8jAeLMUkdb+jhNMOrG8vdvwTf2ao0w==" saltValue="Kcau+ipYNanDJ78BLecmjg==" spinCount="100000" sheet="1" objects="1" scenarios="1"/>
  <pageMargins left="0.6692913385826772" right="0.6692913385826772" top="0.9055118110236221" bottom="0.78740157480314965" header="0.31496062992125984" footer="0.31496062992125984"/>
  <pageSetup paperSize="9" orientation="landscape" r:id="rId1"/>
  <headerFooter>
    <oddHeader xml:space="preserve">&amp;L&amp;"-,Tučné"Statutární město
Frýdek-Místek&amp;C&amp;"-,Tučné" Závazné ukazatele rozpočtu pro rok 2025 po 2. změně a po RO RM č. 1 - 80 
&amp;"-,Obyčejné"Zpracovala: Mgr. Andrea Oháňková, FO
&amp;RStrana &amp;P
celkem 18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ZU 2025 po 2.ZR a RORM 1-80</vt:lpstr>
      <vt:lpstr>'ZU 2025 po 2.ZR a RORM 1-80'!Názvy_tisku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OBORNÁ</dc:creator>
  <cp:lastModifiedBy>Ilona Oborná</cp:lastModifiedBy>
  <cp:lastPrinted>2025-06-19T07:14:15Z</cp:lastPrinted>
  <dcterms:created xsi:type="dcterms:W3CDTF">2024-01-31T13:47:41Z</dcterms:created>
  <dcterms:modified xsi:type="dcterms:W3CDTF">2025-06-20T06:14:54Z</dcterms:modified>
</cp:coreProperties>
</file>